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1) In Progress\"/>
    </mc:Choice>
  </mc:AlternateContent>
  <xr:revisionPtr revIDLastSave="0" documentId="13_ncr:1_{C242E1C0-A110-45C3-B849-FD56946B5DCE}" xr6:coauthVersionLast="47" xr6:coauthVersionMax="47" xr10:uidLastSave="{00000000-0000-0000-0000-000000000000}"/>
  <bookViews>
    <workbookView xWindow="-110" yWindow="-110" windowWidth="19420" windowHeight="10420" firstSheet="2" activeTab="10"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sheetId="33"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CAPM'!$A$1:$I$37</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Debt'!$A$1:$K$34</definedName>
    <definedName name="_xlnm.Print_Area" localSheetId="11">'Direct GCF'!$A$1:$N$39</definedName>
    <definedName name="_xlnm.Print_Area" localSheetId="12">'Direct NOPAT'!$A$1:$N$60</definedName>
    <definedName name="_xlnm.Print_Area" localSheetId="7">'Dividends '!$A$1:$K$31</definedName>
    <definedName name="_xlnm.Print_Area" localSheetId="8">Earnings!$A$1:$K$31</definedName>
    <definedName name="_xlnm.Print_Area" localSheetId="13">'Growth &amp; Inflation Rates'!$A$1:$H$118</definedName>
    <definedName name="_xlnm.Print_Area" localSheetId="14">'Indicated Yield Equity Rate'!$A$1:$F$52</definedName>
    <definedName name="_xlnm.Print_Area" localSheetId="5">'Maintenance CapEx'!$A$1:$L$76</definedName>
    <definedName name="_xlnm.Print_Area" localSheetId="4">'Market to Book Ratios'!$A$1:$G$60</definedName>
    <definedName name="_xlnm.Print_Area" localSheetId="18">Multiples!$A$1:$J$43</definedName>
    <definedName name="_xlnm.Print_Area" localSheetId="3">'S&amp;D'!$A$1:$L$91</definedName>
    <definedName name="_xlnm.Print_Area" localSheetId="16">'Single Stage Div Growth Model'!$A$1:$K$47</definedName>
    <definedName name="_xlnm.Print_Area" localSheetId="17">'Two-Stage Div Growth Model'!$A$1:$I$45</definedName>
    <definedName name="_xlnm.Print_Area" localSheetId="1">'Yield CapRate'!$A$1:$H$35</definedName>
    <definedName name="_xlnm.Print_Area" localSheetId="10">'Yield Debt'!$A$1:$M$59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4" i="8" l="1"/>
  <c r="I24" i="8"/>
  <c r="J23" i="8"/>
  <c r="I23" i="8"/>
  <c r="G24" i="8"/>
  <c r="G23" i="8"/>
  <c r="J28" i="13"/>
  <c r="J27" i="13"/>
  <c r="I28" i="13"/>
  <c r="I27" i="13"/>
  <c r="L29" i="11"/>
  <c r="L28" i="11"/>
  <c r="J40" i="3"/>
  <c r="J47" i="3"/>
  <c r="J46" i="3"/>
  <c r="I47" i="3"/>
  <c r="I46" i="3"/>
  <c r="G43" i="3"/>
  <c r="J28" i="3" l="1"/>
  <c r="J27" i="3"/>
  <c r="I27" i="3"/>
  <c r="J26" i="3"/>
  <c r="I26" i="3"/>
  <c r="J25" i="3"/>
  <c r="J24" i="3"/>
  <c r="E20" i="13" l="1"/>
  <c r="J23" i="3" l="1"/>
  <c r="J25" i="25"/>
  <c r="I25" i="25"/>
  <c r="H25" i="25"/>
  <c r="G25" i="25"/>
  <c r="F25" i="25"/>
  <c r="J24" i="25"/>
  <c r="I24" i="25"/>
  <c r="H24" i="25"/>
  <c r="G24" i="25"/>
  <c r="F24" i="25"/>
  <c r="E25" i="25"/>
  <c r="E24" i="25"/>
  <c r="F27" i="20"/>
  <c r="F26" i="20"/>
  <c r="F25" i="20"/>
  <c r="F24" i="20"/>
  <c r="F23" i="20"/>
  <c r="F22" i="20"/>
  <c r="F21" i="20"/>
  <c r="J25" i="19" l="1"/>
  <c r="I25" i="19"/>
  <c r="H25" i="19"/>
  <c r="G25" i="19"/>
  <c r="J24" i="19"/>
  <c r="I24" i="19"/>
  <c r="H24" i="19"/>
  <c r="G24" i="19"/>
  <c r="F25" i="19"/>
  <c r="F24" i="19"/>
  <c r="G55" i="12" l="1"/>
  <c r="F55" i="12"/>
  <c r="E55" i="12"/>
  <c r="G54" i="12"/>
  <c r="F54" i="12"/>
  <c r="E54" i="12"/>
  <c r="M25" i="12"/>
  <c r="L25" i="12"/>
  <c r="K25" i="12"/>
  <c r="J25" i="12"/>
  <c r="M24" i="12"/>
  <c r="L24" i="12"/>
  <c r="K24" i="12"/>
  <c r="J24" i="12"/>
  <c r="G25" i="12"/>
  <c r="F25" i="12"/>
  <c r="E25" i="12"/>
  <c r="G24" i="12"/>
  <c r="F24" i="12"/>
  <c r="E24" i="12"/>
  <c r="D25" i="12"/>
  <c r="D24" i="12"/>
  <c r="M26" i="5"/>
  <c r="L26" i="5"/>
  <c r="J26" i="5"/>
  <c r="I26" i="5"/>
  <c r="M25" i="5"/>
  <c r="L25" i="5"/>
  <c r="J25" i="5"/>
  <c r="I25" i="5"/>
  <c r="F26" i="5"/>
  <c r="E26" i="5"/>
  <c r="D26" i="5"/>
  <c r="F25" i="5"/>
  <c r="E25" i="5"/>
  <c r="D25" i="5"/>
  <c r="C26" i="5"/>
  <c r="C25" i="5"/>
  <c r="K25" i="27" l="1"/>
  <c r="J25" i="27"/>
  <c r="I25" i="27"/>
  <c r="H25" i="27"/>
  <c r="G25" i="27"/>
  <c r="F25" i="27"/>
  <c r="E25" i="27"/>
  <c r="K24" i="27"/>
  <c r="J24" i="27"/>
  <c r="I24" i="27"/>
  <c r="H24" i="27"/>
  <c r="G24" i="27"/>
  <c r="F24" i="27"/>
  <c r="E24" i="27"/>
  <c r="D25" i="27"/>
  <c r="D24" i="27"/>
  <c r="K25" i="17"/>
  <c r="J25" i="17"/>
  <c r="I25" i="17"/>
  <c r="H25" i="17"/>
  <c r="G25" i="17"/>
  <c r="F25" i="17"/>
  <c r="K24" i="17"/>
  <c r="J24" i="17"/>
  <c r="I24" i="17"/>
  <c r="H24" i="17"/>
  <c r="G24" i="17"/>
  <c r="F24" i="17"/>
  <c r="E25" i="17"/>
  <c r="E24" i="17"/>
  <c r="I26" i="14"/>
  <c r="I25" i="14"/>
  <c r="H26" i="14"/>
  <c r="H25" i="14"/>
  <c r="E16" i="34" l="1"/>
  <c r="E19" i="13"/>
  <c r="I22" i="3"/>
  <c r="J22" i="3"/>
  <c r="G38" i="3" s="1"/>
  <c r="E88" i="24" l="1"/>
  <c r="E87" i="24"/>
  <c r="I26" i="27"/>
  <c r="F93" i="24"/>
  <c r="E90" i="24"/>
  <c r="D90" i="24"/>
  <c r="E89" i="24"/>
  <c r="D86" i="24"/>
  <c r="F86" i="24" s="1"/>
  <c r="D85" i="24"/>
  <c r="F85" i="24" s="1"/>
  <c r="D84" i="24"/>
  <c r="F84" i="24" s="1"/>
  <c r="D83" i="24"/>
  <c r="F83" i="24" s="1"/>
  <c r="F82" i="24"/>
  <c r="D82" i="24"/>
  <c r="D81" i="24"/>
  <c r="F81" i="24" s="1"/>
  <c r="F80" i="24"/>
  <c r="D80" i="24"/>
  <c r="D79" i="24"/>
  <c r="F79" i="24" s="1"/>
  <c r="F90" i="24" l="1"/>
  <c r="D89" i="24"/>
  <c r="F89" i="24" s="1"/>
  <c r="B46" i="34" l="1"/>
  <c r="E46" i="34" s="1"/>
  <c r="A46" i="34"/>
  <c r="A6" i="25"/>
  <c r="A6" i="20"/>
  <c r="A6" i="19"/>
  <c r="A59" i="34" l="1"/>
  <c r="A58" i="34"/>
  <c r="A57" i="34"/>
  <c r="A48" i="34"/>
  <c r="A47" i="34"/>
  <c r="A45" i="34"/>
  <c r="E33" i="34" l="1"/>
  <c r="F59" i="34" s="1"/>
  <c r="E32" i="34"/>
  <c r="F58" i="34" s="1"/>
  <c r="E31" i="34"/>
  <c r="F57" i="34" s="1"/>
  <c r="E29" i="34"/>
  <c r="E28" i="34"/>
  <c r="F54" i="34" s="1"/>
  <c r="E26" i="34"/>
  <c r="F52" i="34" s="1"/>
  <c r="E24" i="34"/>
  <c r="F50" i="34" s="1"/>
  <c r="E17" i="34"/>
  <c r="E20" i="34" s="1"/>
  <c r="F46" i="34" s="1"/>
  <c r="E22" i="34"/>
  <c r="F48" i="34" s="1"/>
  <c r="E21" i="34"/>
  <c r="F47" i="34" s="1"/>
  <c r="E19" i="34"/>
  <c r="F45" i="34" s="1"/>
  <c r="A6" i="34"/>
  <c r="B58" i="34"/>
  <c r="E58" i="34" s="1"/>
  <c r="B48" i="34"/>
  <c r="E48" i="34" s="1"/>
  <c r="B47" i="34"/>
  <c r="E47" i="34" s="1"/>
  <c r="A6" i="33"/>
  <c r="A7" i="24"/>
  <c r="A6" i="12"/>
  <c r="A6" i="5"/>
  <c r="A6" i="8"/>
  <c r="A6" i="13"/>
  <c r="A6" i="27"/>
  <c r="A6" i="17"/>
  <c r="A8" i="14"/>
  <c r="A8" i="11"/>
  <c r="A16" i="6"/>
  <c r="D16" i="7"/>
  <c r="D15" i="10"/>
  <c r="A9" i="29"/>
  <c r="C16" i="34"/>
  <c r="B61" i="34"/>
  <c r="E61" i="34" s="1"/>
  <c r="B59" i="34"/>
  <c r="E59" i="34" s="1"/>
  <c r="B57" i="34"/>
  <c r="E57" i="34" s="1"/>
  <c r="F55" i="34"/>
  <c r="B55" i="34"/>
  <c r="E55" i="34" s="1"/>
  <c r="B54" i="34"/>
  <c r="E54" i="34" s="1"/>
  <c r="B52" i="34"/>
  <c r="E52" i="34" s="1"/>
  <c r="B50" i="34"/>
  <c r="E50" i="34" s="1"/>
  <c r="B45" i="34"/>
  <c r="E45" i="34" s="1"/>
  <c r="B43" i="34"/>
  <c r="E43" i="34" s="1"/>
  <c r="F42" i="34"/>
  <c r="B42" i="34"/>
  <c r="E42" i="34" s="1"/>
  <c r="F43" i="34" l="1"/>
  <c r="C22" i="34"/>
  <c r="D22" i="34" s="1"/>
  <c r="F22" i="34" s="1"/>
  <c r="D19" i="33" s="1"/>
  <c r="C20" i="34"/>
  <c r="C31" i="34"/>
  <c r="C57" i="34" s="1"/>
  <c r="D57" i="34" s="1"/>
  <c r="G57" i="34" s="1"/>
  <c r="D37" i="33" s="1"/>
  <c r="C21" i="34"/>
  <c r="D31" i="34"/>
  <c r="F31" i="34" s="1"/>
  <c r="D24" i="33" s="1"/>
  <c r="C19" i="34"/>
  <c r="C17" i="34"/>
  <c r="C32" i="34" s="1"/>
  <c r="C28" i="34"/>
  <c r="C35" i="34"/>
  <c r="D35" i="34" s="1"/>
  <c r="F35" i="34" s="1"/>
  <c r="C42" i="34"/>
  <c r="D42" i="34" s="1"/>
  <c r="G42" i="34" s="1"/>
  <c r="D27" i="33" s="1"/>
  <c r="C29" i="34"/>
  <c r="C33" i="34"/>
  <c r="C26" i="34"/>
  <c r="D16" i="34"/>
  <c r="F16" i="34" s="1"/>
  <c r="D14" i="33" s="1"/>
  <c r="C24" i="34"/>
  <c r="C48" i="34" l="1"/>
  <c r="D48" i="34" s="1"/>
  <c r="G48" i="34" s="1"/>
  <c r="D32" i="33" s="1"/>
  <c r="C46" i="34"/>
  <c r="D46" i="34" s="1"/>
  <c r="G46" i="34" s="1"/>
  <c r="D30" i="33" s="1"/>
  <c r="D20" i="34"/>
  <c r="F20" i="34" s="1"/>
  <c r="D17" i="33" s="1"/>
  <c r="C58" i="34"/>
  <c r="D58" i="34" s="1"/>
  <c r="G58" i="34" s="1"/>
  <c r="D38" i="33" s="1"/>
  <c r="D32" i="34"/>
  <c r="F32" i="34" s="1"/>
  <c r="D25" i="33" s="1"/>
  <c r="C47" i="34"/>
  <c r="D47" i="34" s="1"/>
  <c r="G47" i="34" s="1"/>
  <c r="D31" i="33" s="1"/>
  <c r="D21" i="34"/>
  <c r="F21" i="34" s="1"/>
  <c r="D18" i="33" s="1"/>
  <c r="C50" i="34"/>
  <c r="D50" i="34" s="1"/>
  <c r="G50" i="34" s="1"/>
  <c r="D33" i="33" s="1"/>
  <c r="D24" i="34"/>
  <c r="F24" i="34" s="1"/>
  <c r="D20" i="33" s="1"/>
  <c r="C61" i="34"/>
  <c r="D61" i="34" s="1"/>
  <c r="G61" i="34" s="1"/>
  <c r="D33" i="34"/>
  <c r="F33" i="34" s="1"/>
  <c r="D26" i="33" s="1"/>
  <c r="C54" i="34"/>
  <c r="D54" i="34" s="1"/>
  <c r="G54" i="34" s="1"/>
  <c r="D35" i="33" s="1"/>
  <c r="D28" i="34"/>
  <c r="F28" i="34" s="1"/>
  <c r="D22" i="33" s="1"/>
  <c r="C59" i="34"/>
  <c r="D59" i="34" s="1"/>
  <c r="G59" i="34" s="1"/>
  <c r="D39" i="33" s="1"/>
  <c r="C55" i="34"/>
  <c r="D55" i="34" s="1"/>
  <c r="G55" i="34" s="1"/>
  <c r="D36" i="33" s="1"/>
  <c r="D29" i="34"/>
  <c r="F29" i="34" s="1"/>
  <c r="D23" i="33" s="1"/>
  <c r="C43" i="34"/>
  <c r="D43" i="34" s="1"/>
  <c r="G43" i="34" s="1"/>
  <c r="D28" i="33" s="1"/>
  <c r="D17" i="34"/>
  <c r="F17" i="34" s="1"/>
  <c r="D15" i="33" s="1"/>
  <c r="D26" i="34"/>
  <c r="F26" i="34" s="1"/>
  <c r="D21" i="33" s="1"/>
  <c r="C52" i="34"/>
  <c r="D52" i="34" s="1"/>
  <c r="G52" i="34" s="1"/>
  <c r="D34" i="33" s="1"/>
  <c r="C45" i="34"/>
  <c r="D45" i="34" s="1"/>
  <c r="G45" i="34" s="1"/>
  <c r="D29" i="33" s="1"/>
  <c r="D19" i="34"/>
  <c r="F19" i="34" s="1"/>
  <c r="D16" i="33" s="1"/>
  <c r="D23" i="7" l="1"/>
  <c r="D43" i="33"/>
  <c r="D42" i="33"/>
  <c r="D41" i="33"/>
  <c r="D40" i="33"/>
  <c r="D46" i="33" l="1"/>
  <c r="D45" i="33"/>
  <c r="C26" i="11"/>
  <c r="C25" i="11"/>
  <c r="C24" i="11"/>
  <c r="C23" i="11"/>
  <c r="C22" i="11"/>
  <c r="C21" i="11"/>
  <c r="C20" i="11"/>
  <c r="G24" i="24"/>
  <c r="A46" i="12" l="1"/>
  <c r="C46" i="12"/>
  <c r="D46" i="12"/>
  <c r="E46" i="12"/>
  <c r="A47" i="12"/>
  <c r="C47" i="12"/>
  <c r="D47" i="12"/>
  <c r="E47" i="12"/>
  <c r="A48" i="12"/>
  <c r="C48" i="12"/>
  <c r="D48" i="12"/>
  <c r="E48" i="12"/>
  <c r="A49" i="12"/>
  <c r="C49" i="12"/>
  <c r="D49" i="12"/>
  <c r="E49" i="12"/>
  <c r="A50" i="12"/>
  <c r="C50" i="12"/>
  <c r="D50" i="12"/>
  <c r="E50" i="12"/>
  <c r="A51" i="12"/>
  <c r="C51" i="12"/>
  <c r="D51" i="12"/>
  <c r="E51" i="12"/>
  <c r="A52" i="12"/>
  <c r="C52" i="12"/>
  <c r="D52" i="12"/>
  <c r="E52" i="12"/>
  <c r="E57" i="12" s="1"/>
  <c r="F50" i="12" l="1"/>
  <c r="G50" i="12" s="1"/>
  <c r="F48" i="12"/>
  <c r="G48" i="12" s="1"/>
  <c r="F47" i="12"/>
  <c r="G47" i="12" s="1"/>
  <c r="F46" i="12"/>
  <c r="G46" i="12" s="1"/>
  <c r="F51" i="12"/>
  <c r="G51" i="12" s="1"/>
  <c r="F49" i="12"/>
  <c r="G49" i="12" s="1"/>
  <c r="E56" i="12"/>
  <c r="F52" i="12"/>
  <c r="G52" i="12" s="1"/>
  <c r="D49" i="33"/>
  <c r="D47" i="33"/>
  <c r="D48" i="33"/>
  <c r="E22" i="12"/>
  <c r="E21" i="12"/>
  <c r="E20" i="12"/>
  <c r="E19" i="12"/>
  <c r="E18" i="12"/>
  <c r="E17" i="12"/>
  <c r="E16" i="12"/>
  <c r="K22" i="12"/>
  <c r="K21" i="12"/>
  <c r="K20" i="12"/>
  <c r="K19" i="12"/>
  <c r="K18" i="12"/>
  <c r="K17" i="12"/>
  <c r="K16" i="12"/>
  <c r="F56" i="12" l="1"/>
  <c r="F57" i="12"/>
  <c r="G57" i="12"/>
  <c r="G56" i="12"/>
  <c r="D18" i="25" l="1"/>
  <c r="C18" i="25"/>
  <c r="B18" i="25"/>
  <c r="D17" i="25"/>
  <c r="C17" i="25"/>
  <c r="B17" i="25"/>
  <c r="D16" i="25"/>
  <c r="C16" i="25"/>
  <c r="B16" i="25"/>
  <c r="E23" i="20"/>
  <c r="C23" i="20"/>
  <c r="B23" i="20"/>
  <c r="A23" i="20"/>
  <c r="E22" i="20"/>
  <c r="C22" i="20"/>
  <c r="B22" i="20"/>
  <c r="A22" i="20"/>
  <c r="E21" i="20"/>
  <c r="C21" i="20"/>
  <c r="B21" i="20"/>
  <c r="A21" i="20"/>
  <c r="D19" i="19"/>
  <c r="C19" i="19"/>
  <c r="B19" i="19"/>
  <c r="A19" i="19"/>
  <c r="D18" i="19"/>
  <c r="C18" i="19"/>
  <c r="B18" i="19"/>
  <c r="A18" i="19"/>
  <c r="D17" i="19"/>
  <c r="C17" i="19"/>
  <c r="B17" i="19"/>
  <c r="A17" i="19"/>
  <c r="D18" i="12"/>
  <c r="J18" i="12" s="1"/>
  <c r="L18" i="12" s="1"/>
  <c r="M18" i="12" s="1"/>
  <c r="C18" i="12"/>
  <c r="I18" i="12" s="1"/>
  <c r="A18" i="12"/>
  <c r="D17" i="12"/>
  <c r="F17" i="12" s="1"/>
  <c r="G17" i="12" s="1"/>
  <c r="C17" i="12"/>
  <c r="I17" i="12" s="1"/>
  <c r="A17" i="12"/>
  <c r="D16" i="12"/>
  <c r="J16" i="12" s="1"/>
  <c r="L16" i="12" s="1"/>
  <c r="M16" i="12" s="1"/>
  <c r="C16" i="12"/>
  <c r="I16" i="12" s="1"/>
  <c r="A16" i="12"/>
  <c r="C19" i="5"/>
  <c r="I19" i="5" s="1"/>
  <c r="L19" i="5" s="1"/>
  <c r="M19" i="5" s="1"/>
  <c r="B19" i="5"/>
  <c r="H19" i="5" s="1"/>
  <c r="A19" i="5"/>
  <c r="C18" i="5"/>
  <c r="I18" i="5" s="1"/>
  <c r="L18" i="5" s="1"/>
  <c r="M18" i="5" s="1"/>
  <c r="B18" i="5"/>
  <c r="H18" i="5" s="1"/>
  <c r="A18" i="5"/>
  <c r="C17" i="5"/>
  <c r="E17" i="5" s="1"/>
  <c r="F17" i="5" s="1"/>
  <c r="B17" i="5"/>
  <c r="H17" i="5" s="1"/>
  <c r="A17" i="5"/>
  <c r="E17" i="8"/>
  <c r="D17" i="8"/>
  <c r="C17" i="8"/>
  <c r="B17" i="8"/>
  <c r="A17" i="8"/>
  <c r="E16" i="8"/>
  <c r="D16" i="8"/>
  <c r="C16" i="8"/>
  <c r="B16" i="8"/>
  <c r="A16" i="8"/>
  <c r="E15" i="8"/>
  <c r="D15" i="8"/>
  <c r="C15" i="8"/>
  <c r="B15" i="8"/>
  <c r="A15" i="8"/>
  <c r="B21" i="13"/>
  <c r="A21" i="13"/>
  <c r="B20" i="13"/>
  <c r="A20" i="13"/>
  <c r="B19" i="13"/>
  <c r="A19" i="13"/>
  <c r="K18" i="27"/>
  <c r="D18" i="27"/>
  <c r="J18" i="27" s="1"/>
  <c r="C18" i="27"/>
  <c r="B18" i="27"/>
  <c r="A18" i="27"/>
  <c r="K17" i="27"/>
  <c r="D17" i="27"/>
  <c r="J17" i="27" s="1"/>
  <c r="C17" i="27"/>
  <c r="B17" i="27"/>
  <c r="A17" i="27"/>
  <c r="K16" i="27"/>
  <c r="D16" i="27"/>
  <c r="J16" i="27" s="1"/>
  <c r="C16" i="27"/>
  <c r="B16" i="27"/>
  <c r="A16" i="27"/>
  <c r="K18" i="17"/>
  <c r="D18" i="17"/>
  <c r="J18" i="17" s="1"/>
  <c r="C18" i="17"/>
  <c r="B18" i="17"/>
  <c r="A18" i="17"/>
  <c r="K17" i="17"/>
  <c r="D17" i="17"/>
  <c r="J17" i="17" s="1"/>
  <c r="C17" i="17"/>
  <c r="B17" i="17"/>
  <c r="A17" i="17"/>
  <c r="K16" i="17"/>
  <c r="D16" i="17"/>
  <c r="J16" i="17" s="1"/>
  <c r="C16" i="17"/>
  <c r="B16" i="17"/>
  <c r="A16" i="17"/>
  <c r="C20" i="14"/>
  <c r="B20" i="14"/>
  <c r="A20" i="14"/>
  <c r="C19" i="14"/>
  <c r="B19" i="14"/>
  <c r="A19" i="14"/>
  <c r="C18" i="14"/>
  <c r="B18" i="14"/>
  <c r="A18" i="14"/>
  <c r="F22" i="11"/>
  <c r="H22" i="11" s="1"/>
  <c r="J22" i="11" s="1"/>
  <c r="B22" i="11"/>
  <c r="A22" i="11"/>
  <c r="F21" i="11"/>
  <c r="H21" i="11" s="1"/>
  <c r="B21" i="11"/>
  <c r="A21" i="11"/>
  <c r="F20" i="11"/>
  <c r="H20" i="11" s="1"/>
  <c r="B20" i="11"/>
  <c r="A20" i="11"/>
  <c r="C28" i="29"/>
  <c r="B28" i="29"/>
  <c r="A28" i="29"/>
  <c r="C27" i="29"/>
  <c r="B27" i="29"/>
  <c r="A27" i="29"/>
  <c r="C26" i="29"/>
  <c r="B26" i="29"/>
  <c r="A26" i="29"/>
  <c r="C25" i="29"/>
  <c r="B25" i="29"/>
  <c r="A25" i="29"/>
  <c r="C24" i="29"/>
  <c r="C42" i="29" s="1"/>
  <c r="B24" i="29"/>
  <c r="B42" i="29" s="1"/>
  <c r="A24" i="29"/>
  <c r="A42" i="29" s="1"/>
  <c r="C23" i="29"/>
  <c r="C41" i="29" s="1"/>
  <c r="B23" i="29"/>
  <c r="B41" i="29" s="1"/>
  <c r="A23" i="29"/>
  <c r="A41" i="29" s="1"/>
  <c r="C22" i="29"/>
  <c r="C40" i="29" s="1"/>
  <c r="B22" i="29"/>
  <c r="B40" i="29" s="1"/>
  <c r="A22" i="29"/>
  <c r="A40" i="29" s="1"/>
  <c r="E40" i="3"/>
  <c r="D40" i="3"/>
  <c r="E19" i="19" s="1"/>
  <c r="E39" i="3"/>
  <c r="D39" i="3"/>
  <c r="E18" i="19" s="1"/>
  <c r="E38" i="3"/>
  <c r="D38" i="3"/>
  <c r="E42" i="29"/>
  <c r="F24" i="3"/>
  <c r="E41" i="29"/>
  <c r="F23" i="3"/>
  <c r="F22" i="3"/>
  <c r="C44" i="3"/>
  <c r="B44" i="3"/>
  <c r="A44" i="3"/>
  <c r="C43" i="3"/>
  <c r="B43" i="3"/>
  <c r="A43" i="3"/>
  <c r="C42" i="3"/>
  <c r="B42" i="3"/>
  <c r="A42" i="3"/>
  <c r="C41" i="3"/>
  <c r="B41" i="3"/>
  <c r="A41" i="3"/>
  <c r="C40" i="3"/>
  <c r="B40" i="3"/>
  <c r="A40" i="3"/>
  <c r="C39" i="3"/>
  <c r="B39" i="3"/>
  <c r="A39" i="3"/>
  <c r="C38" i="3"/>
  <c r="B38" i="3"/>
  <c r="A38" i="3"/>
  <c r="F16" i="25" l="1"/>
  <c r="G16" i="25" s="1"/>
  <c r="I16" i="25"/>
  <c r="J16" i="25" s="1"/>
  <c r="F17" i="25"/>
  <c r="G17" i="25" s="1"/>
  <c r="I17" i="25"/>
  <c r="J17" i="25" s="1"/>
  <c r="F18" i="25"/>
  <c r="G18" i="25" s="1"/>
  <c r="I18" i="25"/>
  <c r="J18" i="25" s="1"/>
  <c r="I22" i="11"/>
  <c r="K22" i="11" s="1"/>
  <c r="L22" i="11" s="1"/>
  <c r="I20" i="11"/>
  <c r="F18" i="17"/>
  <c r="G20" i="13"/>
  <c r="F19" i="13"/>
  <c r="H19" i="13" s="1"/>
  <c r="I19" i="13" s="1"/>
  <c r="D40" i="29"/>
  <c r="F17" i="17"/>
  <c r="F17" i="27"/>
  <c r="G19" i="13"/>
  <c r="H40" i="3"/>
  <c r="I40" i="3" s="1"/>
  <c r="E40" i="29"/>
  <c r="G21" i="13"/>
  <c r="F18" i="12"/>
  <c r="G18" i="12" s="1"/>
  <c r="E18" i="5"/>
  <c r="F18" i="5" s="1"/>
  <c r="F16" i="27"/>
  <c r="F18" i="27"/>
  <c r="E19" i="5"/>
  <c r="F19" i="5" s="1"/>
  <c r="F16" i="17"/>
  <c r="F16" i="12"/>
  <c r="G16" i="12" s="1"/>
  <c r="D22" i="29"/>
  <c r="F22" i="29" s="1"/>
  <c r="D23" i="29"/>
  <c r="F23" i="29" s="1"/>
  <c r="D24" i="29"/>
  <c r="F24" i="29" s="1"/>
  <c r="E17" i="19"/>
  <c r="J17" i="12"/>
  <c r="L17" i="12" s="1"/>
  <c r="M17" i="12" s="1"/>
  <c r="I17" i="5"/>
  <c r="L17" i="5" s="1"/>
  <c r="M17" i="5" s="1"/>
  <c r="H16" i="27"/>
  <c r="H17" i="27"/>
  <c r="H18" i="27"/>
  <c r="H16" i="17"/>
  <c r="H17" i="17"/>
  <c r="H18" i="17"/>
  <c r="J20" i="11"/>
  <c r="I21" i="11"/>
  <c r="J21" i="11"/>
  <c r="H38" i="3"/>
  <c r="I38" i="3" s="1"/>
  <c r="F19" i="19" l="1"/>
  <c r="J19" i="19" s="1"/>
  <c r="D23" i="20"/>
  <c r="D22" i="20"/>
  <c r="F18" i="19"/>
  <c r="J18" i="19" s="1"/>
  <c r="D21" i="20"/>
  <c r="F17" i="19"/>
  <c r="K20" i="11"/>
  <c r="L20" i="11" s="1"/>
  <c r="K21" i="11"/>
  <c r="L21" i="11" s="1"/>
  <c r="D42" i="29"/>
  <c r="F42" i="29" s="1"/>
  <c r="F21" i="13"/>
  <c r="H39" i="3"/>
  <c r="F20" i="13"/>
  <c r="D41" i="29"/>
  <c r="F41" i="29" s="1"/>
  <c r="J19" i="13"/>
  <c r="F40" i="29"/>
  <c r="J38" i="3"/>
  <c r="I19" i="19" l="1"/>
  <c r="I18" i="19"/>
  <c r="J20" i="13"/>
  <c r="H20" i="13"/>
  <c r="I20" i="13" s="1"/>
  <c r="I39" i="3"/>
  <c r="J39" i="3"/>
  <c r="J21" i="13"/>
  <c r="H21" i="13"/>
  <c r="I21" i="13" s="1"/>
  <c r="J17" i="19"/>
  <c r="I17" i="19"/>
  <c r="G27" i="8"/>
  <c r="G26" i="8"/>
  <c r="G25" i="8"/>
  <c r="E27" i="20" l="1"/>
  <c r="E26" i="20"/>
  <c r="E25" i="20"/>
  <c r="E24" i="20"/>
  <c r="F25" i="13"/>
  <c r="E41" i="3" l="1"/>
  <c r="G22" i="13"/>
  <c r="G23" i="13"/>
  <c r="G24" i="13"/>
  <c r="G25" i="13"/>
  <c r="D42" i="3"/>
  <c r="D26" i="29" s="1"/>
  <c r="F26" i="29" s="1"/>
  <c r="F24" i="13" l="1"/>
  <c r="F23" i="13"/>
  <c r="F22" i="13"/>
  <c r="D22" i="27" l="1"/>
  <c r="D21" i="27"/>
  <c r="D20" i="27"/>
  <c r="D19" i="27"/>
  <c r="H19" i="27" s="1"/>
  <c r="C27" i="20"/>
  <c r="B27" i="20"/>
  <c r="A27" i="20"/>
  <c r="C26" i="20"/>
  <c r="B26" i="20"/>
  <c r="A26" i="20"/>
  <c r="C25" i="20"/>
  <c r="B25" i="20"/>
  <c r="A25" i="20"/>
  <c r="C24" i="20"/>
  <c r="B24" i="20"/>
  <c r="A24" i="20"/>
  <c r="D22" i="17"/>
  <c r="D21" i="17"/>
  <c r="D20" i="17"/>
  <c r="D19" i="17"/>
  <c r="H19" i="17" s="1"/>
  <c r="E21" i="19"/>
  <c r="D23" i="19"/>
  <c r="D22" i="19"/>
  <c r="D21" i="19"/>
  <c r="D20" i="19"/>
  <c r="C23" i="19"/>
  <c r="B23" i="19"/>
  <c r="A23" i="19"/>
  <c r="C22" i="19"/>
  <c r="B22" i="19"/>
  <c r="A22" i="19"/>
  <c r="C21" i="19"/>
  <c r="B21" i="19"/>
  <c r="A21" i="19"/>
  <c r="C20" i="19"/>
  <c r="B20" i="19"/>
  <c r="A20" i="19"/>
  <c r="A22" i="12"/>
  <c r="A21" i="12"/>
  <c r="A20" i="12"/>
  <c r="A19" i="12"/>
  <c r="C22" i="12"/>
  <c r="I22" i="12" s="1"/>
  <c r="C21" i="12"/>
  <c r="I21" i="12" s="1"/>
  <c r="C20" i="12"/>
  <c r="I20" i="12" s="1"/>
  <c r="C19" i="12"/>
  <c r="I19" i="12" s="1"/>
  <c r="D22" i="12"/>
  <c r="D21" i="12"/>
  <c r="D20" i="12"/>
  <c r="D19" i="12"/>
  <c r="C23" i="5"/>
  <c r="B23" i="5"/>
  <c r="H23" i="5" s="1"/>
  <c r="A23" i="5"/>
  <c r="C22" i="5"/>
  <c r="B22" i="5"/>
  <c r="H22" i="5" s="1"/>
  <c r="A22" i="5"/>
  <c r="C21" i="5"/>
  <c r="B21" i="5"/>
  <c r="H21" i="5" s="1"/>
  <c r="A21" i="5"/>
  <c r="C20" i="5"/>
  <c r="B20" i="5"/>
  <c r="H20" i="5" s="1"/>
  <c r="A20" i="5"/>
  <c r="D21" i="8"/>
  <c r="D20" i="8"/>
  <c r="D19" i="8"/>
  <c r="D18" i="8"/>
  <c r="D24" i="20" l="1"/>
  <c r="F20" i="19"/>
  <c r="D22" i="25"/>
  <c r="I22" i="25" s="1"/>
  <c r="J22" i="25" s="1"/>
  <c r="D21" i="25"/>
  <c r="I21" i="25" s="1"/>
  <c r="J21" i="25" s="1"/>
  <c r="D20" i="25"/>
  <c r="I20" i="25" s="1"/>
  <c r="J20" i="25" s="1"/>
  <c r="D19" i="25"/>
  <c r="I19" i="25" s="1"/>
  <c r="J19" i="25" s="1"/>
  <c r="C22" i="25"/>
  <c r="B22" i="25"/>
  <c r="C21" i="25"/>
  <c r="B21" i="25"/>
  <c r="C20" i="25"/>
  <c r="B20" i="25"/>
  <c r="C19" i="25"/>
  <c r="B19" i="25"/>
  <c r="C21" i="8"/>
  <c r="B21" i="8"/>
  <c r="A21" i="8"/>
  <c r="C20" i="8"/>
  <c r="B20" i="8"/>
  <c r="A20" i="8"/>
  <c r="C19" i="8"/>
  <c r="B19" i="8"/>
  <c r="A19" i="8"/>
  <c r="A18" i="8"/>
  <c r="B18" i="8"/>
  <c r="C18" i="8"/>
  <c r="B25" i="13"/>
  <c r="A25" i="13"/>
  <c r="B24" i="13"/>
  <c r="A24" i="13"/>
  <c r="B23" i="13"/>
  <c r="A23" i="13"/>
  <c r="B22" i="13"/>
  <c r="A22" i="13"/>
  <c r="C22" i="27"/>
  <c r="B22" i="27"/>
  <c r="A22" i="27"/>
  <c r="C21" i="27"/>
  <c r="B21" i="27"/>
  <c r="A21" i="27"/>
  <c r="C20" i="27"/>
  <c r="B20" i="27"/>
  <c r="A20" i="27"/>
  <c r="C19" i="27"/>
  <c r="B19" i="27"/>
  <c r="A19" i="27"/>
  <c r="C22" i="17"/>
  <c r="B22" i="17"/>
  <c r="A22" i="17"/>
  <c r="C21" i="17"/>
  <c r="B21" i="17"/>
  <c r="A21" i="17"/>
  <c r="C20" i="17"/>
  <c r="B20" i="17"/>
  <c r="A20" i="17"/>
  <c r="C19" i="17"/>
  <c r="B19" i="17"/>
  <c r="A19" i="17"/>
  <c r="C24" i="14" l="1"/>
  <c r="B24" i="14"/>
  <c r="A24" i="14"/>
  <c r="C23" i="14"/>
  <c r="B23" i="14"/>
  <c r="A23" i="14"/>
  <c r="C22" i="14"/>
  <c r="B22" i="14"/>
  <c r="A22" i="14"/>
  <c r="C21" i="14"/>
  <c r="B21" i="14"/>
  <c r="A21" i="14"/>
  <c r="B24" i="11"/>
  <c r="A24" i="11"/>
  <c r="B23" i="11"/>
  <c r="A23" i="11"/>
  <c r="E42" i="3"/>
  <c r="D44" i="29"/>
  <c r="E44" i="29"/>
  <c r="F26" i="3"/>
  <c r="H42" i="3" l="1"/>
  <c r="I42" i="3" s="1"/>
  <c r="B26" i="11"/>
  <c r="A26" i="11"/>
  <c r="B25" i="11"/>
  <c r="A25" i="11"/>
  <c r="C46" i="29"/>
  <c r="B46" i="29"/>
  <c r="A46" i="29"/>
  <c r="C45" i="29"/>
  <c r="B45" i="29"/>
  <c r="A45" i="29"/>
  <c r="C44" i="29"/>
  <c r="B44" i="29"/>
  <c r="A44" i="29"/>
  <c r="C43" i="29"/>
  <c r="B43" i="29"/>
  <c r="A43" i="29"/>
  <c r="J42" i="3" l="1"/>
  <c r="G64" i="10"/>
  <c r="K19" i="17"/>
  <c r="B55" i="29"/>
  <c r="I27" i="27"/>
  <c r="G27" i="27"/>
  <c r="E27" i="27"/>
  <c r="G26" i="27"/>
  <c r="E26" i="27"/>
  <c r="K22" i="27"/>
  <c r="H22" i="27"/>
  <c r="K21" i="27"/>
  <c r="J21" i="27"/>
  <c r="K20" i="27"/>
  <c r="F20" i="27"/>
  <c r="K19" i="27"/>
  <c r="K22" i="17"/>
  <c r="K21" i="17"/>
  <c r="K20" i="17"/>
  <c r="J27" i="8"/>
  <c r="I27" i="8"/>
  <c r="A24" i="24" l="1"/>
  <c r="A15" i="24"/>
  <c r="G21" i="20"/>
  <c r="H21" i="20" s="1"/>
  <c r="G23" i="20"/>
  <c r="H23" i="20" s="1"/>
  <c r="G22" i="20"/>
  <c r="H22" i="20" s="1"/>
  <c r="D48" i="10"/>
  <c r="F22" i="27"/>
  <c r="J22" i="27"/>
  <c r="F19" i="27"/>
  <c r="J19" i="27"/>
  <c r="H21" i="27"/>
  <c r="K27" i="27"/>
  <c r="D16" i="24" s="1"/>
  <c r="H20" i="27"/>
  <c r="K26" i="27"/>
  <c r="D15" i="24" s="1"/>
  <c r="J20" i="27"/>
  <c r="F21" i="27"/>
  <c r="D26" i="27"/>
  <c r="D27" i="27"/>
  <c r="K26" i="17"/>
  <c r="C15" i="24" s="1"/>
  <c r="K27" i="17"/>
  <c r="C16" i="24" s="1"/>
  <c r="J27" i="27" l="1"/>
  <c r="J26" i="27"/>
  <c r="F27" i="27"/>
  <c r="F26" i="27"/>
  <c r="H27" i="27"/>
  <c r="H26" i="27"/>
  <c r="I27" i="17" l="1"/>
  <c r="I26" i="17"/>
  <c r="H24" i="24" l="1"/>
  <c r="D58" i="10"/>
  <c r="G31" i="10" l="1"/>
  <c r="F20" i="25"/>
  <c r="G20" i="25" s="1"/>
  <c r="D25" i="10"/>
  <c r="J27" i="25" l="1"/>
  <c r="J26" i="25"/>
  <c r="I27" i="25"/>
  <c r="I26" i="25"/>
  <c r="G24" i="20"/>
  <c r="G27" i="20"/>
  <c r="F19" i="25"/>
  <c r="G19" i="25" s="1"/>
  <c r="F22" i="25"/>
  <c r="G22" i="25" s="1"/>
  <c r="F21" i="25"/>
  <c r="G21" i="25" s="1"/>
  <c r="H27" i="19"/>
  <c r="G27" i="19"/>
  <c r="H26" i="19"/>
  <c r="G26" i="19"/>
  <c r="G27" i="17"/>
  <c r="G26" i="17"/>
  <c r="J22" i="17"/>
  <c r="J21" i="17"/>
  <c r="J20" i="17"/>
  <c r="J19" i="17"/>
  <c r="E27" i="17"/>
  <c r="E26" i="17"/>
  <c r="I28" i="14"/>
  <c r="I27" i="14"/>
  <c r="I26" i="8"/>
  <c r="I25" i="8"/>
  <c r="F26" i="11"/>
  <c r="H26" i="11" s="1"/>
  <c r="F25" i="11"/>
  <c r="H25" i="11" s="1"/>
  <c r="F24" i="11"/>
  <c r="H24" i="11" s="1"/>
  <c r="F23" i="11"/>
  <c r="H23" i="11" s="1"/>
  <c r="E21" i="8"/>
  <c r="E20" i="8"/>
  <c r="E19" i="8"/>
  <c r="E18" i="8"/>
  <c r="I23" i="5"/>
  <c r="L23" i="5" s="1"/>
  <c r="I22" i="5"/>
  <c r="L22" i="5" s="1"/>
  <c r="I21" i="5"/>
  <c r="L21" i="5" s="1"/>
  <c r="I20" i="5"/>
  <c r="L20" i="5" s="1"/>
  <c r="J33" i="12"/>
  <c r="D23" i="10" s="1"/>
  <c r="I33" i="12"/>
  <c r="H32" i="5"/>
  <c r="D56" i="10" s="1"/>
  <c r="G32" i="5"/>
  <c r="H28" i="14"/>
  <c r="H27" i="14"/>
  <c r="J25" i="13"/>
  <c r="J24" i="13"/>
  <c r="J23" i="13"/>
  <c r="J22" i="13"/>
  <c r="H25" i="13"/>
  <c r="I25" i="13" s="1"/>
  <c r="H24" i="13"/>
  <c r="I24" i="13" s="1"/>
  <c r="H23" i="13"/>
  <c r="I23" i="13" s="1"/>
  <c r="H22" i="13"/>
  <c r="I22" i="13" s="1"/>
  <c r="K27" i="12"/>
  <c r="E27" i="12"/>
  <c r="K26" i="12"/>
  <c r="E26" i="12"/>
  <c r="J22" i="12"/>
  <c r="F20" i="12"/>
  <c r="G20" i="12" s="1"/>
  <c r="J19" i="12"/>
  <c r="G26" i="25" l="1"/>
  <c r="G27" i="25"/>
  <c r="J30" i="13"/>
  <c r="I30" i="13"/>
  <c r="J24" i="11"/>
  <c r="I24" i="11"/>
  <c r="J23" i="11"/>
  <c r="I23" i="11"/>
  <c r="J27" i="17"/>
  <c r="J26" i="17"/>
  <c r="J29" i="13"/>
  <c r="I29" i="13"/>
  <c r="J20" i="12"/>
  <c r="L22" i="12"/>
  <c r="M22" i="12" s="1"/>
  <c r="F19" i="17"/>
  <c r="H22" i="17"/>
  <c r="F22" i="17"/>
  <c r="H20" i="17"/>
  <c r="F20" i="17"/>
  <c r="H21" i="17"/>
  <c r="F21" i="17"/>
  <c r="L19" i="12"/>
  <c r="M19" i="12" s="1"/>
  <c r="J21" i="12"/>
  <c r="F27" i="25"/>
  <c r="F26" i="25"/>
  <c r="D26" i="12"/>
  <c r="I28" i="5"/>
  <c r="I27" i="5"/>
  <c r="F21" i="12"/>
  <c r="G21" i="12" s="1"/>
  <c r="F22" i="12"/>
  <c r="G22" i="12" s="1"/>
  <c r="D27" i="12"/>
  <c r="F19" i="12"/>
  <c r="G19" i="12" s="1"/>
  <c r="D27" i="20" l="1"/>
  <c r="H27" i="20" s="1"/>
  <c r="F23" i="19"/>
  <c r="J23" i="19" s="1"/>
  <c r="F22" i="19"/>
  <c r="D26" i="20"/>
  <c r="F21" i="19"/>
  <c r="D25" i="20"/>
  <c r="H24" i="20"/>
  <c r="I20" i="19"/>
  <c r="K23" i="11"/>
  <c r="L23" i="11" s="1"/>
  <c r="K24" i="11"/>
  <c r="L24" i="11" s="1"/>
  <c r="L20" i="12"/>
  <c r="M20" i="12" s="1"/>
  <c r="F26" i="17"/>
  <c r="F27" i="17"/>
  <c r="L21" i="12"/>
  <c r="M21" i="12" s="1"/>
  <c r="H26" i="17"/>
  <c r="H27" i="17"/>
  <c r="J27" i="12"/>
  <c r="J26" i="12"/>
  <c r="G26" i="12"/>
  <c r="F27" i="12"/>
  <c r="F26" i="12"/>
  <c r="G27" i="12"/>
  <c r="J20" i="19" l="1"/>
  <c r="I23" i="19"/>
  <c r="I22" i="19"/>
  <c r="I21" i="19"/>
  <c r="H31" i="20"/>
  <c r="H30" i="20"/>
  <c r="L27" i="12"/>
  <c r="L26" i="12"/>
  <c r="F27" i="19"/>
  <c r="F26" i="19"/>
  <c r="M27" i="12"/>
  <c r="M26" i="12"/>
  <c r="J27" i="19" l="1"/>
  <c r="J26" i="19"/>
  <c r="I27" i="19"/>
  <c r="I26" i="19"/>
  <c r="J28" i="5"/>
  <c r="J27" i="5"/>
  <c r="J26" i="11"/>
  <c r="J25" i="11"/>
  <c r="I26" i="11"/>
  <c r="I25" i="11"/>
  <c r="F56" i="10"/>
  <c r="C58" i="10"/>
  <c r="C56" i="10"/>
  <c r="F58" i="10"/>
  <c r="F25" i="10"/>
  <c r="C25" i="10"/>
  <c r="F23" i="10"/>
  <c r="C23" i="10"/>
  <c r="K26" i="11" l="1"/>
  <c r="L26" i="11" s="1"/>
  <c r="K25" i="11"/>
  <c r="L25" i="11" s="1"/>
  <c r="G25" i="10"/>
  <c r="C27" i="10"/>
  <c r="C60" i="10"/>
  <c r="G23" i="10"/>
  <c r="G56" i="10"/>
  <c r="G58" i="10"/>
  <c r="E43" i="29"/>
  <c r="D46" i="29" l="1"/>
  <c r="E46" i="29"/>
  <c r="D43" i="29"/>
  <c r="F43" i="29" s="1"/>
  <c r="D45" i="29"/>
  <c r="E45" i="29"/>
  <c r="L30" i="11"/>
  <c r="L31" i="11"/>
  <c r="G27" i="10"/>
  <c r="G60" i="10"/>
  <c r="M20" i="5"/>
  <c r="M21" i="5"/>
  <c r="M22" i="5"/>
  <c r="M23" i="5"/>
  <c r="F45" i="29" l="1"/>
  <c r="F44" i="29"/>
  <c r="F46" i="29"/>
  <c r="L27" i="5"/>
  <c r="L28" i="5"/>
  <c r="F47" i="29" l="1"/>
  <c r="D55" i="29" s="1"/>
  <c r="M28" i="5"/>
  <c r="M27" i="5"/>
  <c r="E43" i="3"/>
  <c r="C27" i="5" l="1"/>
  <c r="C28" i="5"/>
  <c r="D44" i="3" l="1"/>
  <c r="D28" i="29" s="1"/>
  <c r="F28" i="29" s="1"/>
  <c r="D43" i="3"/>
  <c r="D27" i="29" s="1"/>
  <c r="F27" i="29" s="1"/>
  <c r="D41" i="3"/>
  <c r="D25" i="29" s="1"/>
  <c r="F25" i="29" s="1"/>
  <c r="E22" i="19" l="1"/>
  <c r="E23" i="19"/>
  <c r="E20" i="19"/>
  <c r="H43" i="3"/>
  <c r="J43" i="3" s="1"/>
  <c r="H41" i="3"/>
  <c r="J41" i="3" s="1"/>
  <c r="F25" i="3" l="1"/>
  <c r="F27" i="3"/>
  <c r="F28" i="3"/>
  <c r="C23" i="7" l="1"/>
  <c r="C54" i="29" s="1"/>
  <c r="C25" i="7"/>
  <c r="C55" i="29" s="1"/>
  <c r="E55" i="29" s="1"/>
  <c r="D25" i="7" l="1"/>
  <c r="J25" i="8" l="1"/>
  <c r="J26" i="8" l="1"/>
  <c r="E44" i="3" l="1"/>
  <c r="H44" i="3" s="1"/>
  <c r="J44" i="3" s="1"/>
  <c r="F29" i="29" l="1"/>
  <c r="D54" i="29" s="1"/>
  <c r="E54" i="29" s="1"/>
  <c r="E56" i="29" s="1"/>
  <c r="I44" i="3"/>
  <c r="I43" i="3"/>
  <c r="D28" i="5" l="1"/>
  <c r="D27" i="5"/>
  <c r="I41" i="3" l="1"/>
  <c r="I48" i="3" l="1"/>
  <c r="J49" i="3"/>
  <c r="E23" i="5" l="1"/>
  <c r="F23" i="5" s="1"/>
  <c r="E22" i="5"/>
  <c r="F22" i="5" s="1"/>
  <c r="E21" i="5"/>
  <c r="F21" i="5" s="1"/>
  <c r="E20" i="5"/>
  <c r="F20" i="5" s="1"/>
  <c r="E27" i="5" l="1"/>
  <c r="J48" i="3"/>
  <c r="E28" i="5"/>
  <c r="I49" i="3"/>
  <c r="F27" i="5"/>
  <c r="F23" i="7" l="1"/>
  <c r="G23" i="7" s="1"/>
  <c r="F28"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rev4279</author>
    <author>rev3569</author>
    <author>Sheeks, David (DOR)</author>
  </authors>
  <commentList>
    <comment ref="G22" authorId="0" shapeId="0" xr:uid="{3877DFA1-3A0A-48D2-874B-75421DED5C4C}">
      <text>
        <r>
          <rPr>
            <b/>
            <sz val="9"/>
            <color indexed="81"/>
            <rFont val="Tahoma"/>
            <family val="2"/>
          </rPr>
          <t>rev4175:</t>
        </r>
        <r>
          <rPr>
            <sz val="9"/>
            <color indexed="81"/>
            <rFont val="Tahoma"/>
            <family val="2"/>
          </rPr>
          <t xml:space="preserve">
12/29 Close</t>
        </r>
      </text>
    </comment>
    <comment ref="H22" authorId="1" shapeId="0" xr:uid="{39893B64-3F56-4392-8717-95E8C5D3A3B6}">
      <text>
        <r>
          <rPr>
            <b/>
            <sz val="9"/>
            <color indexed="81"/>
            <rFont val="Tahoma"/>
            <family val="2"/>
          </rPr>
          <t>rev4279:</t>
        </r>
        <r>
          <rPr>
            <sz val="9"/>
            <color indexed="81"/>
            <rFont val="Tahoma"/>
            <family val="2"/>
          </rPr>
          <t xml:space="preserve">
10K PG F-5  (174)</t>
        </r>
      </text>
    </comment>
    <comment ref="I22" authorId="1" shapeId="0" xr:uid="{ED11D07A-3AE5-44BA-91BD-1BAB6C444646}">
      <text>
        <r>
          <rPr>
            <b/>
            <sz val="9"/>
            <color indexed="81"/>
            <rFont val="Tahoma"/>
            <family val="2"/>
          </rPr>
          <t>rev4279:</t>
        </r>
        <r>
          <rPr>
            <sz val="9"/>
            <color indexed="81"/>
            <rFont val="Tahoma"/>
            <family val="2"/>
          </rPr>
          <t xml:space="preserve">
10K PG F-8  (177)</t>
        </r>
      </text>
    </comment>
    <comment ref="G23" authorId="0" shapeId="0" xr:uid="{71464F17-1CEF-454F-8E50-8897EBAFE2D6}">
      <text>
        <r>
          <rPr>
            <b/>
            <sz val="9"/>
            <color indexed="81"/>
            <rFont val="Tahoma"/>
            <family val="2"/>
          </rPr>
          <t>rev4175:</t>
        </r>
        <r>
          <rPr>
            <sz val="9"/>
            <color indexed="81"/>
            <rFont val="Tahoma"/>
            <family val="2"/>
          </rPr>
          <t xml:space="preserve">
12/29 Close</t>
        </r>
      </text>
    </comment>
    <comment ref="G24" authorId="0" shapeId="0" xr:uid="{2B2EB4F2-76D1-4A21-BD58-F8072CD01885}">
      <text>
        <r>
          <rPr>
            <b/>
            <sz val="9"/>
            <color indexed="81"/>
            <rFont val="Tahoma"/>
            <family val="2"/>
          </rPr>
          <t>rev4175:</t>
        </r>
        <r>
          <rPr>
            <sz val="9"/>
            <color indexed="81"/>
            <rFont val="Tahoma"/>
            <family val="2"/>
          </rPr>
          <t xml:space="preserve">
12/29 Close</t>
        </r>
      </text>
    </comment>
    <comment ref="G25" authorId="0" shapeId="0" xr:uid="{CD7027B5-B5FA-4A68-BBD7-9CC47B7A042C}">
      <text>
        <r>
          <rPr>
            <b/>
            <sz val="9"/>
            <color indexed="81"/>
            <rFont val="Tahoma"/>
            <family val="2"/>
          </rPr>
          <t>rev4175:</t>
        </r>
        <r>
          <rPr>
            <sz val="9"/>
            <color indexed="81"/>
            <rFont val="Tahoma"/>
            <family val="2"/>
          </rPr>
          <t xml:space="preserve">
12/29 Close</t>
        </r>
      </text>
    </comment>
    <comment ref="G26" authorId="0" shapeId="0" xr:uid="{BA7A8F1E-FF4A-48CA-978A-D827B63D87D0}">
      <text>
        <r>
          <rPr>
            <b/>
            <sz val="9"/>
            <color indexed="81"/>
            <rFont val="Tahoma"/>
            <family val="2"/>
          </rPr>
          <t>rev4175:</t>
        </r>
        <r>
          <rPr>
            <sz val="9"/>
            <color indexed="81"/>
            <rFont val="Tahoma"/>
            <family val="2"/>
          </rPr>
          <t xml:space="preserve">
</t>
        </r>
        <r>
          <rPr>
            <sz val="11"/>
            <color indexed="81"/>
            <rFont val="Tahoma"/>
            <family val="2"/>
          </rPr>
          <t>12/29 Close</t>
        </r>
      </text>
    </comment>
    <comment ref="G27" authorId="0" shapeId="0" xr:uid="{6EAB1AB5-E962-41CF-9364-3AE7137B661F}">
      <text>
        <r>
          <rPr>
            <b/>
            <sz val="9"/>
            <color indexed="81"/>
            <rFont val="Tahoma"/>
            <family val="2"/>
          </rPr>
          <t>rev4175:</t>
        </r>
        <r>
          <rPr>
            <sz val="9"/>
            <color indexed="81"/>
            <rFont val="Tahoma"/>
            <family val="2"/>
          </rPr>
          <t xml:space="preserve">
12/29 Close</t>
        </r>
      </text>
    </comment>
    <comment ref="G28" authorId="0" shapeId="0" xr:uid="{56A1A7AC-85A2-4FCB-B0C0-DE431349C5B1}">
      <text>
        <r>
          <rPr>
            <b/>
            <sz val="9"/>
            <color indexed="81"/>
            <rFont val="Tahoma"/>
            <family val="2"/>
          </rPr>
          <t>rev4175:</t>
        </r>
        <r>
          <rPr>
            <sz val="9"/>
            <color indexed="81"/>
            <rFont val="Tahoma"/>
            <family val="2"/>
          </rPr>
          <t xml:space="preserve">
12/29 Close</t>
        </r>
      </text>
    </comment>
    <comment ref="F34" authorId="2" shapeId="0" xr:uid="{CEF678F7-6580-4CF3-AC8E-A803AFF27478}">
      <text>
        <r>
          <rPr>
            <b/>
            <sz val="11"/>
            <color indexed="81"/>
            <rFont val="Tahoma"/>
            <family val="2"/>
          </rPr>
          <t>rev3569:</t>
        </r>
        <r>
          <rPr>
            <sz val="11"/>
            <color indexed="81"/>
            <rFont val="Tahoma"/>
            <family val="2"/>
          </rPr>
          <t xml:space="preserve">
identify present value in 10K</t>
        </r>
      </text>
    </comment>
    <comment ref="F38" authorId="1" shapeId="0" xr:uid="{5E3F26F9-2D89-4EC9-AC99-17F960A445CF}">
      <text>
        <r>
          <rPr>
            <b/>
            <sz val="9"/>
            <color indexed="81"/>
            <rFont val="Tahoma"/>
            <family val="2"/>
          </rPr>
          <t>rev4279:</t>
        </r>
        <r>
          <rPr>
            <sz val="9"/>
            <color indexed="81"/>
            <rFont val="Tahoma"/>
            <family val="2"/>
          </rPr>
          <t xml:space="preserve">
10K PG F-5 (174)</t>
        </r>
      </text>
    </comment>
    <comment ref="G38" authorId="1" shapeId="0" xr:uid="{7E3F4D0F-426B-49CD-95F7-11631F33E4BC}">
      <text>
        <r>
          <rPr>
            <b/>
            <sz val="9"/>
            <color indexed="81"/>
            <rFont val="Tahoma"/>
            <family val="2"/>
          </rPr>
          <t>rev4279:</t>
        </r>
        <r>
          <rPr>
            <sz val="9"/>
            <color indexed="81"/>
            <rFont val="Tahoma"/>
            <family val="2"/>
          </rPr>
          <t xml:space="preserve">
10K PG F-19 IN THE NOTES</t>
        </r>
      </text>
    </comment>
    <comment ref="F39" authorId="3" shapeId="0" xr:uid="{7FD02DF5-5860-4FDD-A6E9-E2EF814BDAA4}">
      <text>
        <r>
          <rPr>
            <b/>
            <sz val="9"/>
            <color indexed="81"/>
            <rFont val="Tahoma"/>
            <family val="2"/>
          </rPr>
          <t>Sheeks, David (DOR):</t>
        </r>
        <r>
          <rPr>
            <sz val="9"/>
            <color indexed="81"/>
            <rFont val="Tahoma"/>
            <family val="2"/>
          </rPr>
          <t xml:space="preserve">
10K PG F-64</t>
        </r>
      </text>
    </comment>
    <comment ref="G39" authorId="3" shapeId="0" xr:uid="{C3CCB957-C831-4333-92D3-8793FBAE2613}">
      <text>
        <r>
          <rPr>
            <b/>
            <sz val="9"/>
            <color indexed="81"/>
            <rFont val="Tahoma"/>
            <family val="2"/>
          </rPr>
          <t>Sheeks, David (DOR):</t>
        </r>
        <r>
          <rPr>
            <sz val="9"/>
            <color indexed="81"/>
            <rFont val="Tahoma"/>
            <family val="2"/>
          </rPr>
          <t xml:space="preserve">
10k f-58</t>
        </r>
      </text>
    </comment>
    <comment ref="F40" authorId="3" shapeId="0" xr:uid="{C8D22943-25A9-47E2-8CD8-707285EEDB8D}">
      <text>
        <r>
          <rPr>
            <b/>
            <sz val="9"/>
            <color indexed="81"/>
            <rFont val="Tahoma"/>
            <family val="2"/>
          </rPr>
          <t>Sheeks, David (DOR):</t>
        </r>
        <r>
          <rPr>
            <sz val="9"/>
            <color indexed="81"/>
            <rFont val="Tahoma"/>
            <family val="2"/>
          </rPr>
          <t xml:space="preserve">
No operating leases per 10k</t>
        </r>
      </text>
    </comment>
    <comment ref="G41" authorId="3" shapeId="0" xr:uid="{221FFBF2-F39C-4E6A-9109-2A64710F547B}">
      <text>
        <r>
          <rPr>
            <b/>
            <sz val="9"/>
            <color indexed="81"/>
            <rFont val="Tahoma"/>
            <family val="2"/>
          </rPr>
          <t>Sheeks, David (DOR):</t>
        </r>
        <r>
          <rPr>
            <sz val="9"/>
            <color indexed="81"/>
            <rFont val="Tahoma"/>
            <family val="2"/>
          </rPr>
          <t xml:space="preserve">
10k pg 104
</t>
        </r>
      </text>
    </comment>
    <comment ref="F42" authorId="3" shapeId="0" xr:uid="{8D5AB8D2-ECF5-41F4-A1D1-0A7C8E88DF85}">
      <text>
        <r>
          <rPr>
            <b/>
            <sz val="9"/>
            <color indexed="81"/>
            <rFont val="Tahoma"/>
            <family val="2"/>
          </rPr>
          <t>Sheeks, David (DOR):</t>
        </r>
        <r>
          <rPr>
            <sz val="9"/>
            <color indexed="81"/>
            <rFont val="Tahoma"/>
            <family val="2"/>
          </rPr>
          <t xml:space="preserve">
10k pg 80
</t>
        </r>
      </text>
    </comment>
    <comment ref="G43" authorId="3" shapeId="0" xr:uid="{974376C0-B54A-46DC-9E07-04927E9C36FD}">
      <text>
        <r>
          <rPr>
            <b/>
            <sz val="9"/>
            <color indexed="81"/>
            <rFont val="Tahoma"/>
            <family val="2"/>
          </rPr>
          <t>Sheeks, David (DOR):</t>
        </r>
        <r>
          <rPr>
            <sz val="9"/>
            <color indexed="81"/>
            <rFont val="Tahoma"/>
            <family val="2"/>
          </rPr>
          <t xml:space="preserve">
Page 135 10K PDF Note 10 Debt
In the footnotes (3) it states the face value and fair value of the LT Debt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rev4279</author>
  </authors>
  <commentList>
    <comment ref="E22" authorId="0" shapeId="0" xr:uid="{7D7619C7-F1B6-461D-85FA-06FF5E0B87F6}">
      <text>
        <r>
          <rPr>
            <b/>
            <sz val="9"/>
            <color indexed="81"/>
            <rFont val="Tahoma"/>
            <family val="2"/>
          </rPr>
          <t>rev4279:</t>
        </r>
        <r>
          <rPr>
            <sz val="9"/>
            <color indexed="81"/>
            <rFont val="Tahoma"/>
            <family val="2"/>
          </rPr>
          <t xml:space="preserve">
10K PG F-5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rev4279</author>
  </authors>
  <commentList>
    <comment ref="D20" authorId="0" shapeId="0" xr:uid="{D8190926-CF1E-410F-ADF3-7CE5741C7E7E}">
      <text>
        <r>
          <rPr>
            <b/>
            <sz val="9"/>
            <color indexed="81"/>
            <rFont val="Tahoma"/>
            <family val="2"/>
          </rPr>
          <t>rev4279:</t>
        </r>
        <r>
          <rPr>
            <sz val="9"/>
            <color indexed="81"/>
            <rFont val="Tahoma"/>
            <family val="2"/>
          </rPr>
          <t xml:space="preserve">
10K PG F-5</t>
        </r>
      </text>
    </comment>
    <comment ref="G20" authorId="0" shapeId="0" xr:uid="{A6AE3D38-18E3-499E-AB45-AF0571B6573D}">
      <text>
        <r>
          <rPr>
            <b/>
            <sz val="9"/>
            <color indexed="81"/>
            <rFont val="Tahoma"/>
            <family val="2"/>
          </rPr>
          <t>rev4279:</t>
        </r>
        <r>
          <rPr>
            <sz val="9"/>
            <color indexed="81"/>
            <rFont val="Tahoma"/>
            <family val="2"/>
          </rPr>
          <t xml:space="preserve">
10K PG F-6</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rev4279</author>
    <author>Sheeks, David (DOR)</author>
  </authors>
  <commentList>
    <comment ref="C19" authorId="0" shapeId="0" xr:uid="{4288896D-9617-4835-B485-2A1CCF105189}">
      <text>
        <r>
          <rPr>
            <b/>
            <sz val="9"/>
            <color indexed="81"/>
            <rFont val="Tahoma"/>
            <family val="2"/>
          </rPr>
          <t>rev4279:</t>
        </r>
        <r>
          <rPr>
            <sz val="9"/>
            <color indexed="81"/>
            <rFont val="Tahoma"/>
            <family val="2"/>
          </rPr>
          <t xml:space="preserve">
10K PG F-6</t>
        </r>
      </text>
    </comment>
    <comment ref="E19" authorId="0" shapeId="0" xr:uid="{AB4164A7-7C31-4A95-B999-A7EE6793D092}">
      <text>
        <r>
          <rPr>
            <b/>
            <sz val="9"/>
            <color indexed="81"/>
            <rFont val="Tahoma"/>
            <family val="2"/>
          </rPr>
          <t>rev4279:</t>
        </r>
        <r>
          <rPr>
            <sz val="9"/>
            <color indexed="81"/>
            <rFont val="Tahoma"/>
            <family val="2"/>
          </rPr>
          <t xml:space="preserve">
10K PG F-5</t>
        </r>
      </text>
    </comment>
    <comment ref="C21" authorId="1" shapeId="0" xr:uid="{15787F17-7E08-43DF-B3FF-8B4A4F2984A5}">
      <text>
        <r>
          <rPr>
            <b/>
            <sz val="9"/>
            <color indexed="81"/>
            <rFont val="Tahoma"/>
            <family val="2"/>
          </rPr>
          <t>Sheeks, David (DOR):</t>
        </r>
        <r>
          <rPr>
            <sz val="9"/>
            <color indexed="81"/>
            <rFont val="Tahoma"/>
            <family val="2"/>
          </rPr>
          <t xml:space="preserve">
10k pg 55</t>
        </r>
      </text>
    </comment>
    <comment ref="C22" authorId="1" shapeId="0" xr:uid="{B35931E2-F968-4775-9521-1C7B48D7F777}">
      <text>
        <r>
          <rPr>
            <b/>
            <sz val="9"/>
            <color indexed="81"/>
            <rFont val="Tahoma"/>
            <family val="2"/>
          </rPr>
          <t>Sheeks, David (DOR):</t>
        </r>
        <r>
          <rPr>
            <sz val="9"/>
            <color indexed="81"/>
            <rFont val="Tahoma"/>
            <family val="2"/>
          </rPr>
          <t xml:space="preserve">
10k pg77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F18" authorId="0" shapeId="0" xr:uid="{36E0A4CE-52A7-477E-A87A-E5362D0DD303}">
      <text>
        <r>
          <rPr>
            <b/>
            <sz val="9"/>
            <color indexed="81"/>
            <rFont val="Tahoma"/>
            <family val="2"/>
          </rPr>
          <t>Baker, Mike A (DOR):  See page 65 10K</t>
        </r>
        <r>
          <rPr>
            <sz val="9"/>
            <color indexed="81"/>
            <rFont val="Tahoma"/>
            <family val="2"/>
          </rPr>
          <t xml:space="preserve">
</t>
        </r>
      </text>
    </comment>
  </commentList>
</comments>
</file>

<file path=xl/sharedStrings.xml><?xml version="1.0" encoding="utf-8"?>
<sst xmlns="http://schemas.openxmlformats.org/spreadsheetml/2006/main" count="1572" uniqueCount="531">
  <si>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</si>
  <si>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</si>
  <si>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</si>
  <si>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</si>
  <si>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</si>
  <si>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</si>
  <si>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</si>
  <si>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</si>
  <si>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</si>
  <si>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</si>
  <si>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</si>
  <si>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</si>
  <si>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</si>
  <si>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</si>
  <si>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</si>
  <si>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</si>
  <si>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</si>
  <si>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</si>
  <si>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</si>
  <si>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</si>
  <si>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</si>
  <si>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</si>
  <si>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</si>
  <si>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</si>
  <si>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</si>
  <si>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</si>
  <si>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</si>
  <si>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</si>
  <si>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</si>
  <si>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</si>
  <si>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</si>
  <si>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</si>
  <si>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</si>
  <si>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</si>
  <si>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</si>
  <si>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</si>
  <si>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</si>
  <si>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</si>
  <si>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</si>
  <si>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</si>
  <si>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</si>
  <si>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</si>
  <si>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</si>
  <si>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</si>
  <si>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</si>
  <si>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</si>
  <si>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</si>
  <si>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</si>
  <si>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</si>
  <si>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</si>
  <si>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</si>
  <si>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</si>
  <si>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</si>
  <si>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</si>
  <si>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</si>
  <si>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</si>
  <si>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</si>
  <si>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</si>
  <si>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</si>
  <si>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</si>
  <si>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</si>
  <si>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</si>
  <si>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2023 Tax Year</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</si>
  <si>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</si>
  <si>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</si>
  <si>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</si>
  <si>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</si>
  <si>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</si>
  <si>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</si>
  <si>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</si>
  <si>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</si>
  <si>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</si>
  <si>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</si>
  <si>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</si>
  <si>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</si>
  <si>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YEAR END 12/31/2022</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</si>
  <si>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</si>
  <si>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</si>
  <si>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</si>
  <si>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</si>
  <si>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</si>
  <si>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</si>
  <si>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</si>
  <si>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</si>
  <si>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</si>
  <si>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</si>
  <si>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</si>
  <si>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</si>
  <si>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</si>
  <si>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</si>
  <si>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</si>
  <si>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</si>
  <si>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</si>
  <si>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</si>
  <si>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</si>
  <si>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</si>
  <si>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</si>
  <si>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</si>
  <si>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</si>
  <si>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</si>
  <si>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</si>
  <si>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</si>
  <si>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</si>
  <si>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</si>
  <si>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</si>
  <si>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</si>
  <si>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</si>
  <si>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</si>
  <si>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</si>
  <si>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</si>
  <si>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</si>
  <si>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</si>
  <si>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</si>
  <si>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</si>
  <si>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</si>
  <si>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</si>
  <si>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</si>
  <si>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</si>
  <si>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</si>
  <si>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</si>
  <si>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</si>
  <si>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</si>
  <si>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</si>
  <si>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</si>
  <si>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</si>
  <si>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</si>
  <si>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</si>
  <si>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</si>
  <si>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</si>
  <si>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</si>
  <si>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</si>
  <si>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</si>
  <si>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</si>
  <si>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</si>
  <si>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</si>
  <si>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</si>
  <si>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</si>
  <si>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</si>
  <si>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</si>
  <si>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</si>
  <si>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</si>
  <si>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</si>
  <si>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</si>
  <si>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</si>
  <si>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</si>
  <si>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</si>
  <si>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</si>
  <si>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</si>
  <si>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</si>
  <si>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</si>
  <si>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</si>
  <si>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</si>
  <si>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</si>
  <si>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</si>
  <si>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</si>
  <si>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</si>
  <si>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</si>
  <si>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</si>
  <si>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</si>
  <si>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</si>
  <si>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</si>
  <si>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</si>
  <si>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</si>
  <si>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</si>
  <si>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</si>
  <si>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</si>
  <si>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</si>
  <si>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</si>
  <si>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</si>
  <si>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</si>
  <si>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</si>
  <si>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</si>
  <si>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</si>
  <si>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</si>
  <si>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</si>
  <si>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</si>
  <si>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</si>
  <si>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</si>
  <si>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</si>
  <si>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</si>
  <si>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</si>
  <si>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</si>
  <si>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</si>
  <si>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</si>
  <si>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</si>
  <si>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</si>
  <si>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</si>
  <si>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</si>
  <si>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</si>
  <si>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</si>
  <si>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</si>
  <si>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</si>
  <si>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</si>
  <si>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</si>
  <si>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</si>
  <si>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</si>
  <si>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</si>
  <si>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</si>
  <si>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</si>
  <si>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</si>
  <si>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</si>
  <si>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</si>
  <si>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</si>
  <si>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</si>
  <si>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</si>
  <si>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</si>
  <si>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</si>
  <si>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</si>
  <si>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</si>
  <si>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</si>
  <si>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</si>
  <si>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</si>
  <si>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</si>
  <si>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</si>
  <si>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</si>
  <si>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</si>
  <si>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</si>
  <si>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</si>
  <si>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</si>
  <si>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</si>
  <si>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</si>
  <si>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</si>
  <si>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</si>
  <si>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</si>
  <si>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</si>
  <si>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</si>
  <si>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</si>
  <si>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</si>
  <si>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</si>
  <si>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</si>
  <si>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</si>
  <si>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</si>
  <si>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</si>
  <si>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</si>
  <si>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</si>
  <si>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</si>
  <si>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</si>
  <si>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</si>
  <si>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</si>
  <si>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</si>
  <si>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</si>
  <si>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</si>
  <si>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r>
      <t xml:space="preserve">NOPAT CASH FLOW MULTIPLE &amp; EQUITY RATE </t>
    </r>
    <r>
      <rPr>
        <b/>
        <sz val="12"/>
        <color theme="1"/>
        <rFont val="Microsoft GothicNeo"/>
        <family val="2"/>
        <charset val="129"/>
      </rPr>
      <t>(LT 25-27 Yr Projected VL)</t>
    </r>
  </si>
  <si>
    <t>VL LT Projected NOI</t>
  </si>
  <si>
    <t>Indicated Rate of Debt &gt;</t>
  </si>
  <si>
    <t>Year End</t>
  </si>
  <si>
    <t>&amp; Finance Leases</t>
  </si>
  <si>
    <t>10K Income Statement</t>
  </si>
  <si>
    <t>10K Balance Sheet</t>
  </si>
  <si>
    <t>Indicated Rate of Equity Selected &gt;</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</si>
  <si>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</si>
  <si>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</si>
  <si>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</si>
  <si>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</si>
  <si>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</si>
  <si>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</si>
  <si>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</si>
  <si>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</si>
  <si>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</si>
  <si>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 xml:space="preserve">Federal Reserve Bank of Philadelphia - The Livingston Survey - Inflation Mean (measured by the CPI over next 10 years) Table 3   (2) </t>
  </si>
  <si>
    <t xml:space="preserve">Federal Reserve Bank of Philadelphia - The Livingston Survey - Inflation Median (measured by the CPI over next 10 years) Page 8  (2)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</si>
  <si>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</si>
  <si>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</si>
  <si>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</si>
  <si>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</si>
  <si>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</si>
  <si>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</si>
  <si>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</si>
  <si>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</si>
  <si>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</si>
  <si>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Trimmed Average</t>
  </si>
  <si>
    <t>*Cornell, B. &amp; Gerger, R. (2017) Estimating Terminal Values with Inflation : The Inputs Matter - It is Not a Formulaic Exercise.  Business Valuation Review, Vol.36, Number 4, 117-123.</t>
  </si>
  <si>
    <t>C1  C2  C3</t>
  </si>
  <si>
    <t>MEDIAN GROWTH RATES</t>
  </si>
  <si>
    <t>SOURCE &gt;</t>
  </si>
  <si>
    <t>SOURCES &gt;</t>
  </si>
  <si>
    <t>Vl Projected 2023</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</si>
  <si>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</si>
  <si>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</si>
  <si>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</si>
  <si>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</si>
  <si>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</si>
  <si>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</si>
  <si>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</si>
  <si>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</si>
  <si>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</si>
  <si>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</si>
  <si>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</si>
  <si>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</si>
  <si>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</si>
  <si>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</si>
  <si>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</si>
  <si>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</si>
  <si>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</si>
  <si>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</si>
  <si>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</si>
  <si>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</si>
  <si>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</si>
  <si>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</si>
  <si>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</si>
  <si>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</si>
  <si>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</si>
  <si>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</si>
  <si>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</si>
  <si>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</si>
  <si>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</si>
  <si>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</si>
  <si>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</si>
  <si>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</si>
  <si>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</si>
  <si>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</si>
  <si>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</si>
  <si>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</si>
  <si>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</si>
  <si>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</si>
  <si>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</si>
  <si>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</si>
  <si>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</si>
  <si>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</si>
  <si>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 Market value of operating leases for all companies including the airlines and railroads</t>
  </si>
  <si>
    <t>Companies excluded from the study &gt;</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</si>
  <si>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</si>
  <si>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</si>
  <si>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</si>
  <si>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</si>
  <si>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</si>
  <si>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</si>
  <si>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</si>
  <si>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</si>
  <si>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</si>
  <si>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</si>
  <si>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</si>
  <si>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</si>
  <si>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</si>
  <si>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</si>
  <si>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</si>
  <si>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</si>
  <si>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</si>
  <si>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</si>
  <si>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</si>
  <si>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</si>
  <si>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</si>
  <si>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</si>
  <si>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</si>
  <si>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</si>
  <si>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</si>
  <si>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</si>
  <si>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</si>
  <si>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</si>
  <si>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</si>
  <si>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</si>
  <si>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</si>
  <si>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</si>
  <si>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</si>
  <si>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</si>
  <si>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</si>
  <si>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</si>
  <si>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</si>
  <si>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</si>
  <si>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</si>
  <si>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</si>
  <si>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</si>
  <si>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</si>
  <si>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</si>
  <si>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</si>
  <si>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</si>
  <si>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</si>
  <si>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CS+LTD +PS + OL</t>
  </si>
  <si>
    <t>&amp; Op Leases</t>
  </si>
  <si>
    <t>Earnings Growth = DY + EG</t>
  </si>
  <si>
    <t>Dividend Growth = DY + DG</t>
  </si>
  <si>
    <t>EG = Earnings Growth</t>
  </si>
  <si>
    <t>DG = Dividend Growth</t>
  </si>
  <si>
    <t>DY = Dividend Yield</t>
  </si>
  <si>
    <t>G = Projected Growth (Earnings Per Share 5 Yr Growth Rate)</t>
  </si>
  <si>
    <t>G = Projected Growth (Div. 5 Yr Growth Rate)</t>
  </si>
  <si>
    <t>Liquid Transportation Pipeline Carriers</t>
  </si>
  <si>
    <t>Pipeline MLPs</t>
  </si>
  <si>
    <t>Energy Transfer LP</t>
  </si>
  <si>
    <t>ET</t>
  </si>
  <si>
    <t>Enterprise Products Partnership LP</t>
  </si>
  <si>
    <t>EPD</t>
  </si>
  <si>
    <t>Hess Midstream LP</t>
  </si>
  <si>
    <t>HESM</t>
  </si>
  <si>
    <t>MPLX, LP</t>
  </si>
  <si>
    <t>MPLX</t>
  </si>
  <si>
    <t>NuStar Energy LP</t>
  </si>
  <si>
    <t>NS</t>
  </si>
  <si>
    <t>Plains All American Pipeline LP</t>
  </si>
  <si>
    <t>PAA</t>
  </si>
  <si>
    <t>Western Midstream Partners LP</t>
  </si>
  <si>
    <t>WES</t>
  </si>
  <si>
    <t xml:space="preserve">AmeriGas Partners (APU) - Primarily engaged in the marketing and distribution of propane.  Not applicable to fluid transportation pipeline services.  </t>
  </si>
  <si>
    <t>Andeavor Logistics LP - Removed, Was acquired by MPLX LP on July 30th, 2019. No longer listed on stock indexes.</t>
  </si>
  <si>
    <t xml:space="preserve">Antero Midstream Parters (AM) - Primarily gathers and processes natural gas (some oil).  Also engaged mid stream activities and hydro facturing &amp; processing.  Not applicable to fluid transportation pipeline services.  </t>
  </si>
  <si>
    <t>Boardwalk Pipeline  - Not Used.  No longer publicly traded.</t>
  </si>
  <si>
    <t>Buckeye Partners LP - Removed Acquired/merged by IFM investors. No longer publicly traded.</t>
  </si>
  <si>
    <t>EQM Midstream Partners (EQM) - EQM merged with Equitrans Midstream Corp 06/2020</t>
  </si>
  <si>
    <t>Enable Midstream acquired by Energy Transfer 2021</t>
  </si>
  <si>
    <t>Plains GP Holdings LP  (PAGP) - Not used.  See Plains All American</t>
  </si>
  <si>
    <t>Rattler Midstream -  No ValueLine sheet.</t>
  </si>
  <si>
    <t>Shell Midstream Partners LP (SHLX) - Owns transmission pipelines.  They own 2.6% of the explorer pipeline that is engaged in the transportation of oil products.  Colorado and Utah included this company.  No Valueline sheet.  Merged with Shell USA</t>
  </si>
  <si>
    <t xml:space="preserve">Suburban Propane (SPH) - Primarily engaged in the marketing and distribution of propane and fuel oil to retail customers.  Not applicable to fluid transportation pipeline services.  </t>
  </si>
  <si>
    <t xml:space="preserve">Spectra Energy Partners LP (SEP) and Spectra Energy Corp - Not used.  No longer publicly traded.    </t>
  </si>
  <si>
    <t xml:space="preserve">Summit Midstream Partners LP (SMLP)  - Main business is gathering and treating oil &amp; gas.  Montana included this company.  </t>
  </si>
  <si>
    <t xml:space="preserve">Tallgrass Energy Partners (TEP) and Tallgrass Energy GP, LP (TEGP) - Not used.  No longer publicly traded.    </t>
  </si>
  <si>
    <t>Valero Energy Partners (VLP) - Not Used.  No longer publicly traded. Acquired by Valero Energy Corp.</t>
  </si>
  <si>
    <t xml:space="preserve">Valero Energy Corp (VEC) - Acquired Valero Energy Part (VLP).  Not used.  Large refiner.  Does have some pipelines.  </t>
  </si>
  <si>
    <t>Companies to add to the study &gt;</t>
  </si>
  <si>
    <t xml:space="preserve">Hess Midstream LP (HESM) - Engaged in liquid transportation </t>
  </si>
  <si>
    <t xml:space="preserve">Western Midstream Partners LP (WES) - Owns and operates midstream pipelines in Rocky mountains, Texas, and North-Central PA.  Main business is gathering and treating oil &amp; gas.  Montana and Oregon included this company.  </t>
  </si>
  <si>
    <t>Companies to consider in the study &gt;</t>
  </si>
  <si>
    <t>Cheniere Energy Partners (CQP) - Engages in LNG business and related natural gas pipelines.   MLP</t>
  </si>
  <si>
    <t>Phillips 66 Partners LP (PSXP) - No longer publicly traded.  Removed from study.</t>
  </si>
  <si>
    <t>General Partner Units</t>
  </si>
  <si>
    <t>Gross Book Value Equity</t>
  </si>
  <si>
    <t>GROSS REVENUE &amp; GROSS BOOK (EQUITY) MULTIPLES</t>
  </si>
  <si>
    <t>Per Unit **</t>
  </si>
  <si>
    <t>Multiple *</t>
  </si>
  <si>
    <t>* This multiple is applicable to service type companies, or those with few assets.  These companies sell at prices related to their revenues.</t>
  </si>
  <si>
    <t>** The book value, or common equity, per share is total owners' equity minus preferred stock divided by the number of common shares outstanding.</t>
  </si>
  <si>
    <t xml:space="preserve">Property, Plant &amp; Equipment includes CWIP, but should exclude intangibles and the associated amortization.  </t>
  </si>
  <si>
    <t>Common Total Equity excludes 'noncontrolling interests' equity value.</t>
  </si>
  <si>
    <t xml:space="preserve">http://www.federalreserve.gov/Releases/H15/Current/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</si>
  <si>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</si>
  <si>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</si>
  <si>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</si>
  <si>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</si>
  <si>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</si>
  <si>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Projected 1 Yr</t>
  </si>
  <si>
    <t>Earnings Per Share Growth Rate</t>
  </si>
  <si>
    <t>Estimated 20-22 to 26-28</t>
  </si>
  <si>
    <t xml:space="preserve">Risk Free Rate (Rf) </t>
  </si>
  <si>
    <t>Yield Equity Rate - DGM (Dividend Growth) &amp; DGM (Earnings Growth)  -- Gordon Growth</t>
  </si>
  <si>
    <t>Three Stage Ex Ante  Version 1  (1) (2)</t>
  </si>
  <si>
    <t>Three Stage Ex Ante  Version 2   (1) (2)</t>
  </si>
  <si>
    <t>Empirical CAPM - Ex Ante, Three Stage - V1</t>
  </si>
  <si>
    <t>Empirical CAPM - Ex Ante, Three Stage - V2</t>
  </si>
  <si>
    <t>CAPM - Ex Ante, Three Stage - V1</t>
  </si>
  <si>
    <t>CAPM - Ex Ante, Three Stage - V2</t>
  </si>
  <si>
    <t>Mean</t>
  </si>
  <si>
    <t>Harmonic Mean</t>
  </si>
  <si>
    <t xml:space="preserve">S&amp;P Rating </t>
  </si>
  <si>
    <t>A market to book ratio over one would be an indication of no obsolescence.</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</si>
  <si>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</si>
  <si>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</si>
  <si>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</si>
  <si>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</si>
  <si>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</si>
  <si>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</si>
  <si>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</si>
  <si>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</si>
  <si>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</si>
  <si>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</si>
  <si>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</si>
  <si>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</si>
  <si>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</si>
  <si>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</si>
  <si>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</si>
  <si>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</si>
  <si>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</si>
  <si>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</si>
  <si>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</si>
  <si>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</si>
  <si>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</si>
  <si>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</si>
  <si>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</si>
  <si>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</si>
  <si>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Damodaran Implied ERP Ex Ante   Avg CF Yield Last 10 Yrs (3)</t>
  </si>
  <si>
    <t>P. Fernandez, T. Garcia de Santos &amp; J.F.Acin  (5)</t>
  </si>
  <si>
    <t>CAPM - Ex Ante  Damodaran Avg CF Yield Last 10 Yrs</t>
  </si>
  <si>
    <t>Empirical CAPM - Ex Ante  Damodaran Avg CF Yield Last 10 Yrs</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</si>
  <si>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</si>
  <si>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</si>
  <si>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</si>
  <si>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Congressional Budget Office  Average % change Yr to Yr  2023-2033  (4)</t>
  </si>
  <si>
    <t>Federal Reserve Bank of Philadelphia  /Survey of Professional Forecasters  Mean (3)</t>
  </si>
  <si>
    <t xml:space="preserve">Congressional Budget Office Real Economic Projections (4)  </t>
  </si>
  <si>
    <t>https://www.cbo.gov/system/files/2021-02/56970-Outlook.p</t>
  </si>
  <si>
    <t>2024 CAPITALIZATION RATE STUDY</t>
  </si>
  <si>
    <t>2024 Tax Year</t>
  </si>
  <si>
    <t>YEAR END 12/31/2023</t>
  </si>
  <si>
    <t>YEAR END 12/31/2023.</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</si>
  <si>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</si>
  <si>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</si>
  <si>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</si>
  <si>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</si>
  <si>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</si>
  <si>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</si>
  <si>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</si>
  <si>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t>The Congressional Budget Office projects the U.S. GDP annual growth rates</t>
  </si>
  <si>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</si>
  <si>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https://www.cbo.gov/publication/59933</t>
  </si>
  <si>
    <t>5 Yr  Jan 2 2024</t>
  </si>
  <si>
    <t>3.93 - 1.76 = 2.17</t>
  </si>
  <si>
    <t>10 Yr  Jan 2 2024</t>
  </si>
  <si>
    <t>3.95 - 1.74 = 2.21</t>
  </si>
  <si>
    <t>20 Yr  Jan 2 2024</t>
  </si>
  <si>
    <t>4.25 - 1.84 = 2.41</t>
  </si>
  <si>
    <t>30 Yr  Jan 2 2024</t>
  </si>
  <si>
    <t>4.08 - 1.91 = 2.17</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</si>
  <si>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</si>
  <si>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</si>
  <si>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</si>
  <si>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</si>
  <si>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</si>
  <si>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</si>
  <si>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</si>
  <si>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</si>
  <si>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</si>
  <si>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</si>
  <si>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</si>
  <si>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</si>
  <si>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</si>
  <si>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</si>
  <si>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</si>
  <si>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na</t>
  </si>
  <si>
    <t>Daily Tresury Par Real Yield Curve Rates  Jan 2 (1)</t>
  </si>
  <si>
    <t>DCP Midstram - Company was sold to Philips 66 removed from study</t>
  </si>
  <si>
    <t>Holly Energy Partners LP - acquired by HF Sinclair Corporation</t>
  </si>
  <si>
    <t xml:space="preserve">Magellan Midstream Partners LP - acuqired by ONEOK </t>
  </si>
  <si>
    <t>Dec. 31, 2023</t>
  </si>
  <si>
    <t>nmf</t>
  </si>
  <si>
    <t>nil</t>
  </si>
  <si>
    <t>B++</t>
  </si>
  <si>
    <t>C++</t>
  </si>
  <si>
    <t>Estimated 21-23 to 27-29</t>
  </si>
  <si>
    <t>Ba  Baa3</t>
  </si>
  <si>
    <t>A3 / Baa1</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</si>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</sst>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0.000"/>
    <numFmt numFmtId="168" formatCode="_(* #,##0.000_);_(* \(#,##0.000\);_(* &quot;-&quot;??_);_(@_)"/>
    <numFmt numFmtId="169" formatCode="0.000%"/>
    <numFmt numFmtId="170" formatCode="0.0000%"/>
  </numFmts>
  <fonts count="72">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1"/>
      <color theme="9" tint="-0.249977111117893"/>
      <name val="Microsoft GothicNeo"/>
      <family val="2"/>
      <charset val="129"/>
    </font>
    <font>
      <b/>
      <sz val="16"/>
      <name val="Microsoft GothicNeo"/>
      <family val="2"/>
      <charset val="129"/>
    </font>
    <font>
      <b/>
      <sz val="16"/>
      <color rgb="FFFF0000"/>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rgb="FF0000CC"/>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color rgb="FF0000CC"/>
      <name val="Microsoft GothicNeo"/>
      <family val="2"/>
      <charset val="129"/>
    </font>
    <font>
      <sz val="12"/>
      <color rgb="FF000000"/>
      <name val="Microsoft GothicNeo"/>
      <family val="2"/>
      <charset val="129"/>
    </font>
    <font>
      <b/>
      <sz val="9"/>
      <color indexed="81"/>
      <name val="Tahoma"/>
      <family val="2"/>
    </font>
    <font>
      <sz val="11"/>
      <name val="Calibri"/>
      <family val="2"/>
      <scheme val="minor"/>
    </font>
    <font>
      <b/>
      <sz val="12"/>
      <color rgb="FF000000"/>
      <name val="Microsoft GothicNeo"/>
      <family val="2"/>
      <charset val="129"/>
    </font>
    <font>
      <sz val="12"/>
      <name val="Microsoft GothicNeo"/>
      <family val="2"/>
      <charset val="129"/>
    </font>
    <font>
      <b/>
      <i/>
      <sz val="14"/>
      <color theme="1"/>
      <name val="Calibri"/>
      <family val="2"/>
      <scheme val="minor"/>
    </font>
    <font>
      <b/>
      <sz val="9"/>
      <name val="Microsoft GothicNeo"/>
      <family val="2"/>
      <charset val="129"/>
    </font>
    <font>
      <b/>
      <sz val="18"/>
      <name val="Microsoft GothicNeo"/>
      <family val="2"/>
      <charset val="129"/>
    </font>
    <font>
      <sz val="11"/>
      <color rgb="FF0000CC"/>
      <name val="Microsoft GothicNeo"/>
      <family val="2"/>
      <charset val="129"/>
    </font>
    <font>
      <sz val="11"/>
      <name val="Microsoft GothicNeo Light"/>
      <family val="2"/>
      <charset val="129"/>
    </font>
  </fonts>
  <fills count="5">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45">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0"/>
    <xf numFmtId="0" fontId="17" fillId="0" borderId="0"/>
    <xf numFmtId="0" fontId="18" fillId="0" borderId="0" applyNumberFormat="0" applyFill="0" applyBorder="0" applyAlignment="0" applyProtection="0"/>
  </cellStyleXfs>
  <cellXfs count="500">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3" fontId="2" fillId="0" borderId="0" xfId="0" applyNumberFormat="1" applyFont="1"/>
    <xf numFmtId="167" fontId="15" fillId="2" borderId="0" xfId="0" applyNumberFormat="1" applyFont="1" applyFill="1" applyAlignment="1">
      <alignment horizontal="center"/>
    </xf>
    <xf numFmtId="0" fontId="19" fillId="0" borderId="0" xfId="0" applyFont="1"/>
    <xf numFmtId="0" fontId="19" fillId="0" borderId="0" xfId="0" applyFont="1" applyAlignment="1">
      <alignment horizontal="center"/>
    </xf>
    <xf numFmtId="0" fontId="21" fillId="0" borderId="0" xfId="0" applyFont="1" applyAlignment="1">
      <alignment horizontal="right"/>
    </xf>
    <xf numFmtId="43" fontId="22" fillId="0" borderId="0" xfId="1" applyFont="1" applyAlignment="1">
      <alignment horizontal="right" vertical="center"/>
    </xf>
    <xf numFmtId="43" fontId="22" fillId="0" borderId="0" xfId="1" applyFont="1" applyFill="1" applyAlignment="1">
      <alignment horizontal="right" vertical="center"/>
    </xf>
    <xf numFmtId="43" fontId="21" fillId="0" borderId="0" xfId="1" applyFont="1" applyFill="1" applyAlignment="1">
      <alignment horizontal="right"/>
    </xf>
    <xf numFmtId="43" fontId="21" fillId="0" borderId="0" xfId="1" applyFont="1" applyFill="1" applyAlignment="1">
      <alignment horizontal="center"/>
    </xf>
    <xf numFmtId="43" fontId="21" fillId="0" borderId="0" xfId="1" applyFont="1" applyFill="1" applyAlignment="1">
      <alignment horizontal="center" vertical="center"/>
    </xf>
    <xf numFmtId="43" fontId="21" fillId="0" borderId="0" xfId="1" applyFont="1" applyFill="1" applyBorder="1" applyAlignment="1">
      <alignment horizontal="center" vertical="center"/>
    </xf>
    <xf numFmtId="43" fontId="21" fillId="0" borderId="0" xfId="1" applyFont="1" applyFill="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16" xfId="0" applyFont="1" applyBorder="1"/>
    <xf numFmtId="0" fontId="19" fillId="0" borderId="2" xfId="0" applyFont="1" applyBorder="1"/>
    <xf numFmtId="0" fontId="27" fillId="0" borderId="2" xfId="0" applyFont="1" applyBorder="1"/>
    <xf numFmtId="0" fontId="28" fillId="0" borderId="0" xfId="0" applyFont="1"/>
    <xf numFmtId="0" fontId="24" fillId="0" borderId="0" xfId="0" applyFont="1" applyAlignment="1">
      <alignment horizontal="center"/>
    </xf>
    <xf numFmtId="0" fontId="29" fillId="0" borderId="2" xfId="0" applyFont="1" applyBorder="1" applyAlignment="1">
      <alignment horizontal="center"/>
    </xf>
    <xf numFmtId="0" fontId="30" fillId="0" borderId="2" xfId="0" applyFont="1" applyBorder="1" applyAlignment="1">
      <alignment horizontal="center"/>
    </xf>
    <xf numFmtId="0" fontId="21" fillId="0" borderId="0" xfId="0" applyFont="1" applyAlignment="1">
      <alignment horizontal="center"/>
    </xf>
    <xf numFmtId="0" fontId="29" fillId="0" borderId="0" xfId="0" applyFont="1" applyAlignment="1">
      <alignment horizontal="center"/>
    </xf>
    <xf numFmtId="0" fontId="21" fillId="0" borderId="2" xfId="0" applyFont="1" applyBorder="1" applyAlignment="1">
      <alignment horizontal="center"/>
    </xf>
    <xf numFmtId="0" fontId="31" fillId="0" borderId="2" xfId="0" applyFont="1" applyBorder="1" applyAlignment="1">
      <alignment horizontal="center"/>
    </xf>
    <xf numFmtId="0" fontId="30" fillId="0" borderId="1" xfId="0" applyFont="1" applyBorder="1" applyAlignment="1">
      <alignment horizontal="center"/>
    </xf>
    <xf numFmtId="0" fontId="32" fillId="0" borderId="1" xfId="0" applyFont="1" applyBorder="1" applyAlignment="1">
      <alignment horizontal="center"/>
    </xf>
    <xf numFmtId="0" fontId="30" fillId="0" borderId="0" xfId="0" applyFont="1" applyAlignment="1">
      <alignment horizontal="center"/>
    </xf>
    <xf numFmtId="0" fontId="33" fillId="0" borderId="2" xfId="0" applyFont="1" applyBorder="1" applyAlignment="1">
      <alignment horizontal="center"/>
    </xf>
    <xf numFmtId="0" fontId="35" fillId="0" borderId="1" xfId="0" applyFont="1" applyBorder="1" applyAlignment="1">
      <alignment horizontal="center"/>
    </xf>
    <xf numFmtId="0" fontId="21" fillId="0" borderId="0" xfId="0" applyFont="1"/>
    <xf numFmtId="166" fontId="22" fillId="0" borderId="0" xfId="1" applyNumberFormat="1" applyFont="1" applyFill="1" applyAlignment="1">
      <alignment horizontal="center"/>
    </xf>
    <xf numFmtId="166" fontId="22" fillId="0" borderId="0" xfId="1" applyNumberFormat="1" applyFont="1" applyFill="1"/>
    <xf numFmtId="0" fontId="21" fillId="0" borderId="4" xfId="0" applyFont="1" applyBorder="1"/>
    <xf numFmtId="0" fontId="22" fillId="0" borderId="0" xfId="0" applyFont="1" applyAlignment="1">
      <alignment horizontal="center" vertical="center"/>
    </xf>
    <xf numFmtId="166" fontId="21" fillId="0" borderId="0" xfId="1" applyNumberFormat="1" applyFont="1" applyFill="1" applyAlignment="1">
      <alignment horizontal="center"/>
    </xf>
    <xf numFmtId="0" fontId="24" fillId="0" borderId="0" xfId="0" applyFont="1" applyAlignment="1">
      <alignment horizontal="right"/>
    </xf>
    <xf numFmtId="10" fontId="21" fillId="0" borderId="0" xfId="2" applyNumberFormat="1" applyFont="1" applyFill="1" applyAlignment="1">
      <alignment horizontal="center" vertical="center"/>
    </xf>
    <xf numFmtId="10" fontId="21" fillId="0" borderId="0" xfId="2" applyNumberFormat="1" applyFont="1" applyFill="1" applyBorder="1" applyAlignment="1">
      <alignment horizontal="center" vertical="center"/>
    </xf>
    <xf numFmtId="10" fontId="22" fillId="0" borderId="0" xfId="2" applyNumberFormat="1" applyFont="1" applyAlignment="1">
      <alignment horizontal="right" vertical="center"/>
    </xf>
    <xf numFmtId="10" fontId="22" fillId="0" borderId="0" xfId="2" applyNumberFormat="1" applyFont="1" applyFill="1" applyAlignment="1">
      <alignment horizontal="right"/>
    </xf>
    <xf numFmtId="10" fontId="21" fillId="0" borderId="0" xfId="2" applyNumberFormat="1" applyFont="1" applyFill="1" applyAlignment="1">
      <alignment horizontal="right"/>
    </xf>
    <xf numFmtId="10" fontId="21" fillId="0" borderId="0" xfId="2" applyNumberFormat="1" applyFont="1" applyFill="1" applyAlignment="1">
      <alignment horizontal="center"/>
    </xf>
    <xf numFmtId="10" fontId="21" fillId="0" borderId="0" xfId="2" applyNumberFormat="1" applyFont="1" applyFill="1"/>
    <xf numFmtId="0" fontId="19" fillId="3" borderId="20" xfId="0" applyFont="1" applyFill="1" applyBorder="1" applyAlignment="1">
      <alignment horizontal="center"/>
    </xf>
    <xf numFmtId="0" fontId="19" fillId="3" borderId="22" xfId="0" applyFont="1" applyFill="1" applyBorder="1" applyAlignment="1">
      <alignment horizontal="center"/>
    </xf>
    <xf numFmtId="2" fontId="38" fillId="0" borderId="0" xfId="0" applyNumberFormat="1" applyFont="1" applyAlignment="1">
      <alignment horizontal="center"/>
    </xf>
    <xf numFmtId="164" fontId="38" fillId="0" borderId="0" xfId="1" applyNumberFormat="1" applyFont="1" applyAlignment="1"/>
    <xf numFmtId="2" fontId="22" fillId="0" borderId="0" xfId="0" applyNumberFormat="1" applyFont="1" applyAlignment="1">
      <alignment horizontal="center"/>
    </xf>
    <xf numFmtId="0" fontId="34" fillId="0" borderId="0" xfId="0" applyFont="1"/>
    <xf numFmtId="43" fontId="24" fillId="0" borderId="0" xfId="1" applyFont="1" applyFill="1"/>
    <xf numFmtId="2" fontId="38" fillId="0" borderId="4" xfId="0" applyNumberFormat="1" applyFont="1" applyBorder="1" applyAlignment="1">
      <alignment horizontal="center"/>
    </xf>
    <xf numFmtId="10" fontId="22" fillId="0" borderId="0" xfId="2" applyNumberFormat="1" applyFont="1" applyFill="1" applyAlignment="1">
      <alignment horizontal="center"/>
    </xf>
    <xf numFmtId="0" fontId="19" fillId="0" borderId="2" xfId="0" applyFont="1" applyBorder="1" applyAlignment="1">
      <alignment horizontal="center"/>
    </xf>
    <xf numFmtId="0" fontId="31" fillId="0" borderId="17" xfId="0" applyFont="1" applyBorder="1" applyAlignment="1">
      <alignment horizontal="center"/>
    </xf>
    <xf numFmtId="0" fontId="24" fillId="0" borderId="0" xfId="0" applyFont="1" applyAlignment="1">
      <alignment horizontal="center" vertical="center"/>
    </xf>
    <xf numFmtId="2" fontId="21" fillId="0" borderId="0" xfId="0" applyNumberFormat="1" applyFont="1" applyAlignment="1">
      <alignment horizontal="center"/>
    </xf>
    <xf numFmtId="0" fontId="19" fillId="0" borderId="4" xfId="0" applyFont="1" applyBorder="1"/>
    <xf numFmtId="2" fontId="22" fillId="0" borderId="0" xfId="0" applyNumberFormat="1" applyFont="1" applyAlignment="1">
      <alignment horizontal="right" vertical="center"/>
    </xf>
    <xf numFmtId="2" fontId="21" fillId="0" borderId="0" xfId="0" applyNumberFormat="1" applyFont="1"/>
    <xf numFmtId="2" fontId="21" fillId="0" borderId="0" xfId="0" applyNumberFormat="1" applyFont="1" applyAlignment="1">
      <alignment horizontal="right"/>
    </xf>
    <xf numFmtId="10" fontId="21" fillId="0" borderId="0" xfId="0" applyNumberFormat="1" applyFont="1"/>
    <xf numFmtId="0" fontId="39" fillId="0" borderId="0" xfId="0" applyFont="1" applyAlignment="1">
      <alignment horizontal="center"/>
    </xf>
    <xf numFmtId="0" fontId="40" fillId="0" borderId="0" xfId="0" applyFont="1"/>
    <xf numFmtId="0" fontId="41" fillId="0" borderId="17" xfId="0" applyFont="1" applyBorder="1" applyAlignment="1">
      <alignment horizontal="center"/>
    </xf>
    <xf numFmtId="0" fontId="36" fillId="0" borderId="0" xfId="0" applyFont="1" applyAlignment="1">
      <alignment horizontal="right"/>
    </xf>
    <xf numFmtId="0" fontId="28" fillId="0" borderId="0" xfId="0" applyFont="1" applyAlignment="1">
      <alignment horizontal="center"/>
    </xf>
    <xf numFmtId="0" fontId="21" fillId="0" borderId="24" xfId="0" applyFont="1" applyBorder="1" applyAlignment="1">
      <alignment horizontal="center"/>
    </xf>
    <xf numFmtId="0" fontId="21" fillId="0" borderId="10" xfId="0" applyFont="1" applyBorder="1" applyAlignment="1">
      <alignment horizontal="center"/>
    </xf>
    <xf numFmtId="0" fontId="21" fillId="0" borderId="3" xfId="0" applyFont="1" applyBorder="1" applyAlignment="1">
      <alignment horizontal="center"/>
    </xf>
    <xf numFmtId="10" fontId="21" fillId="0" borderId="0" xfId="2" applyNumberFormat="1" applyFont="1"/>
    <xf numFmtId="10" fontId="21" fillId="0" borderId="0" xfId="1" applyNumberFormat="1" applyFont="1" applyFill="1"/>
    <xf numFmtId="10" fontId="44" fillId="0" borderId="0" xfId="2" applyNumberFormat="1" applyFont="1" applyFill="1" applyAlignment="1">
      <alignment horizontal="center"/>
    </xf>
    <xf numFmtId="164" fontId="21" fillId="0" borderId="0" xfId="1" applyNumberFormat="1" applyFont="1"/>
    <xf numFmtId="0" fontId="19" fillId="0" borderId="0" xfId="0" applyFont="1" applyAlignment="1">
      <alignment horizontal="left"/>
    </xf>
    <xf numFmtId="0" fontId="21" fillId="0" borderId="2" xfId="0" applyFont="1" applyBorder="1"/>
    <xf numFmtId="0" fontId="34" fillId="0" borderId="7" xfId="0" applyFont="1" applyBorder="1" applyAlignment="1">
      <alignment horizontal="center"/>
    </xf>
    <xf numFmtId="0" fontId="34" fillId="0" borderId="10" xfId="0" applyFont="1" applyBorder="1" applyAlignment="1">
      <alignment horizontal="center"/>
    </xf>
    <xf numFmtId="0" fontId="34" fillId="0" borderId="0" xfId="0" applyFont="1" applyAlignment="1">
      <alignment horizontal="center"/>
    </xf>
    <xf numFmtId="15" fontId="34" fillId="0" borderId="10" xfId="0" applyNumberFormat="1" applyFont="1" applyBorder="1" applyAlignment="1">
      <alignment horizontal="center"/>
    </xf>
    <xf numFmtId="15" fontId="34" fillId="0" borderId="0" xfId="0" quotePrefix="1" applyNumberFormat="1" applyFont="1" applyAlignment="1">
      <alignment horizontal="center"/>
    </xf>
    <xf numFmtId="0" fontId="22" fillId="0" borderId="10" xfId="0" applyFont="1" applyBorder="1" applyAlignment="1">
      <alignment horizontal="center"/>
    </xf>
    <xf numFmtId="0" fontId="38" fillId="0" borderId="10" xfId="0" applyFont="1" applyBorder="1" applyAlignment="1">
      <alignment horizontal="center"/>
    </xf>
    <xf numFmtId="0" fontId="34" fillId="0" borderId="8"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5" fillId="0" borderId="3" xfId="0" applyFont="1" applyBorder="1" applyAlignment="1">
      <alignment horizontal="center"/>
    </xf>
    <xf numFmtId="0" fontId="35" fillId="0" borderId="2" xfId="0" applyFont="1" applyBorder="1" applyAlignment="1">
      <alignment horizontal="center"/>
    </xf>
    <xf numFmtId="0" fontId="35" fillId="0" borderId="9" xfId="0" applyFont="1" applyBorder="1" applyAlignment="1">
      <alignment horizontal="center"/>
    </xf>
    <xf numFmtId="0" fontId="35" fillId="0" borderId="11" xfId="0" applyFont="1" applyBorder="1" applyAlignment="1">
      <alignment horizontal="center"/>
    </xf>
    <xf numFmtId="0" fontId="34" fillId="0" borderId="10" xfId="0" applyFont="1" applyBorder="1"/>
    <xf numFmtId="0" fontId="34" fillId="0" borderId="7" xfId="0" applyFont="1" applyBorder="1"/>
    <xf numFmtId="0" fontId="38" fillId="0" borderId="0" xfId="0" applyFont="1" applyAlignment="1">
      <alignment horizontal="center"/>
    </xf>
    <xf numFmtId="2" fontId="38" fillId="0" borderId="10" xfId="0" applyNumberFormat="1" applyFont="1" applyBorder="1" applyAlignment="1">
      <alignment horizontal="center"/>
    </xf>
    <xf numFmtId="3" fontId="38" fillId="0" borderId="0" xfId="0" applyNumberFormat="1" applyFont="1"/>
    <xf numFmtId="0" fontId="37" fillId="0" borderId="0" xfId="0" applyFont="1"/>
    <xf numFmtId="0" fontId="45" fillId="0" borderId="2" xfId="0" applyFont="1" applyBorder="1"/>
    <xf numFmtId="0" fontId="37" fillId="0" borderId="2" xfId="0" applyFont="1" applyBorder="1"/>
    <xf numFmtId="0" fontId="37" fillId="0" borderId="5" xfId="0" applyFont="1" applyBorder="1"/>
    <xf numFmtId="0" fontId="37" fillId="0" borderId="6" xfId="0" applyFont="1" applyBorder="1"/>
    <xf numFmtId="15" fontId="34" fillId="0" borderId="6" xfId="0" quotePrefix="1" applyNumberFormat="1" applyFont="1" applyBorder="1" applyAlignment="1">
      <alignment horizontal="center"/>
    </xf>
    <xf numFmtId="0" fontId="19" fillId="0" borderId="6" xfId="0" applyFont="1" applyBorder="1"/>
    <xf numFmtId="0" fontId="37" fillId="0" borderId="12" xfId="0" applyFont="1" applyBorder="1"/>
    <xf numFmtId="15" fontId="34" fillId="0" borderId="13" xfId="0" quotePrefix="1" applyNumberFormat="1" applyFont="1" applyBorder="1" applyAlignment="1">
      <alignment horizontal="center"/>
    </xf>
    <xf numFmtId="0" fontId="38" fillId="0" borderId="13" xfId="0" applyFont="1" applyBorder="1" applyAlignment="1">
      <alignment horizontal="center"/>
    </xf>
    <xf numFmtId="0" fontId="34" fillId="0" borderId="14" xfId="0" applyFont="1" applyBorder="1" applyAlignment="1">
      <alignment horizontal="center"/>
    </xf>
    <xf numFmtId="0" fontId="35" fillId="0" borderId="15" xfId="0" applyFont="1" applyBorder="1" applyAlignment="1">
      <alignment horizontal="center"/>
    </xf>
    <xf numFmtId="0" fontId="34" fillId="0" borderId="13" xfId="0" applyFont="1" applyBorder="1"/>
    <xf numFmtId="164" fontId="38" fillId="0" borderId="0" xfId="1" applyNumberFormat="1" applyFont="1" applyFill="1" applyBorder="1"/>
    <xf numFmtId="10" fontId="38" fillId="0" borderId="0" xfId="2" applyNumberFormat="1" applyFont="1" applyFill="1" applyBorder="1"/>
    <xf numFmtId="10" fontId="38" fillId="0" borderId="13" xfId="2" applyNumberFormat="1" applyFont="1" applyFill="1" applyBorder="1"/>
    <xf numFmtId="0" fontId="37" fillId="0" borderId="8" xfId="0" applyFont="1" applyBorder="1"/>
    <xf numFmtId="0" fontId="37" fillId="0" borderId="14" xfId="0" applyFont="1" applyBorder="1"/>
    <xf numFmtId="0" fontId="34" fillId="0" borderId="0" xfId="0" applyFont="1" applyAlignment="1">
      <alignment horizontal="right"/>
    </xf>
    <xf numFmtId="164" fontId="21" fillId="0" borderId="0" xfId="0" applyNumberFormat="1" applyFont="1"/>
    <xf numFmtId="10" fontId="34" fillId="0" borderId="0" xfId="0" applyNumberFormat="1" applyFont="1" applyAlignment="1">
      <alignment horizontal="right"/>
    </xf>
    <xf numFmtId="10" fontId="34" fillId="0" borderId="0" xfId="2" applyNumberFormat="1" applyFont="1" applyFill="1"/>
    <xf numFmtId="10" fontId="34" fillId="0" borderId="0" xfId="2" applyNumberFormat="1" applyFont="1"/>
    <xf numFmtId="2" fontId="19" fillId="0" borderId="0" xfId="0" applyNumberFormat="1" applyFont="1"/>
    <xf numFmtId="0" fontId="21" fillId="0" borderId="1" xfId="0" applyFont="1" applyBorder="1" applyAlignment="1">
      <alignment horizontal="center"/>
    </xf>
    <xf numFmtId="0" fontId="28" fillId="0" borderId="0" xfId="0" applyFont="1" applyAlignment="1">
      <alignment horizontal="right"/>
    </xf>
    <xf numFmtId="0" fontId="22" fillId="0" borderId="0" xfId="0" applyFont="1"/>
    <xf numFmtId="0" fontId="20" fillId="0" borderId="0" xfId="0" applyFont="1"/>
    <xf numFmtId="0" fontId="20" fillId="0" borderId="0" xfId="0" applyFont="1" applyAlignment="1">
      <alignment horizontal="left"/>
    </xf>
    <xf numFmtId="0" fontId="48" fillId="0" borderId="0" xfId="6" applyFont="1" applyFill="1" applyAlignment="1" applyProtection="1">
      <alignment horizontal="left" vertical="top"/>
    </xf>
    <xf numFmtId="0" fontId="20" fillId="0" borderId="0" xfId="0" applyFont="1" applyAlignment="1">
      <alignment horizontal="left" vertical="top"/>
    </xf>
    <xf numFmtId="0" fontId="20" fillId="0" borderId="0" xfId="0" applyFont="1" applyAlignment="1">
      <alignment vertical="top"/>
    </xf>
    <xf numFmtId="0" fontId="49" fillId="0" borderId="0" xfId="0" applyFont="1" applyAlignment="1">
      <alignment horizontal="left" vertical="top"/>
    </xf>
    <xf numFmtId="0" fontId="49" fillId="0" borderId="0" xfId="0" applyFont="1"/>
    <xf numFmtId="165" fontId="21" fillId="0" borderId="0" xfId="3" applyNumberFormat="1" applyFont="1" applyFill="1" applyAlignment="1">
      <alignment horizontal="center"/>
    </xf>
    <xf numFmtId="164" fontId="22" fillId="0" borderId="0" xfId="1" applyNumberFormat="1" applyFont="1" applyFill="1"/>
    <xf numFmtId="10" fontId="22" fillId="0" borderId="0" xfId="2" applyNumberFormat="1" applyFont="1" applyFill="1"/>
    <xf numFmtId="0" fontId="28" fillId="0" borderId="2" xfId="0" applyFont="1" applyBorder="1" applyAlignment="1">
      <alignment horizontal="center"/>
    </xf>
    <xf numFmtId="10" fontId="38" fillId="0" borderId="0" xfId="2" applyNumberFormat="1" applyFont="1" applyFill="1" applyAlignment="1">
      <alignment horizontal="center"/>
    </xf>
    <xf numFmtId="10" fontId="38" fillId="0" borderId="0" xfId="2" applyNumberFormat="1" applyFont="1" applyFill="1"/>
    <xf numFmtId="2" fontId="50" fillId="0" borderId="0" xfId="0" applyNumberFormat="1" applyFont="1" applyAlignment="1">
      <alignment horizontal="center"/>
    </xf>
    <xf numFmtId="2" fontId="34" fillId="0" borderId="2" xfId="0" applyNumberFormat="1" applyFont="1" applyBorder="1" applyAlignment="1">
      <alignment horizontal="center"/>
    </xf>
    <xf numFmtId="10" fontId="34" fillId="0" borderId="2" xfId="2" applyNumberFormat="1" applyFont="1" applyBorder="1"/>
    <xf numFmtId="10" fontId="34" fillId="0" borderId="0" xfId="0" applyNumberFormat="1" applyFont="1" applyAlignment="1">
      <alignment horizontal="center"/>
    </xf>
    <xf numFmtId="2" fontId="34" fillId="0" borderId="0" xfId="0" applyNumberFormat="1" applyFont="1" applyAlignment="1">
      <alignment horizontal="center"/>
    </xf>
    <xf numFmtId="0" fontId="38" fillId="0" borderId="0" xfId="0" applyFont="1"/>
    <xf numFmtId="0" fontId="34" fillId="0" borderId="0" xfId="0" applyFont="1" applyAlignment="1">
      <alignment horizontal="left"/>
    </xf>
    <xf numFmtId="10" fontId="19" fillId="0" borderId="0" xfId="0" applyNumberFormat="1" applyFont="1"/>
    <xf numFmtId="0" fontId="18" fillId="0" borderId="0" xfId="6"/>
    <xf numFmtId="0" fontId="21" fillId="0" borderId="0" xfId="0" applyFont="1" applyAlignment="1">
      <alignment horizontal="left"/>
    </xf>
    <xf numFmtId="0" fontId="51" fillId="0" borderId="2" xfId="0" applyFont="1" applyBorder="1"/>
    <xf numFmtId="0" fontId="0" fillId="0" borderId="2" xfId="0" applyBorder="1"/>
    <xf numFmtId="0" fontId="28" fillId="0" borderId="2" xfId="0" applyFont="1" applyBorder="1"/>
    <xf numFmtId="0" fontId="19" fillId="0" borderId="5" xfId="0" applyFont="1" applyBorder="1"/>
    <xf numFmtId="0" fontId="19" fillId="0" borderId="12" xfId="0" applyFont="1" applyBorder="1"/>
    <xf numFmtId="0" fontId="21" fillId="0" borderId="8" xfId="0" applyFont="1" applyBorder="1" applyAlignment="1">
      <alignment horizontal="center" vertical="center"/>
    </xf>
    <xf numFmtId="0" fontId="28" fillId="0" borderId="34" xfId="0" applyFont="1" applyBorder="1" applyAlignment="1">
      <alignment horizontal="center" vertical="center" wrapText="1"/>
    </xf>
    <xf numFmtId="0" fontId="28" fillId="0" borderId="16" xfId="0" applyFont="1" applyBorder="1" applyAlignment="1">
      <alignment horizontal="center" vertical="center"/>
    </xf>
    <xf numFmtId="0" fontId="28" fillId="0" borderId="16" xfId="0" applyFont="1" applyBorder="1" applyAlignment="1">
      <alignment horizontal="center" vertical="center" wrapText="1"/>
    </xf>
    <xf numFmtId="0" fontId="28" fillId="0" borderId="32" xfId="0" applyFont="1" applyBorder="1" applyAlignment="1">
      <alignment horizontal="center" vertical="center"/>
    </xf>
    <xf numFmtId="0" fontId="34" fillId="0" borderId="16" xfId="0" applyFont="1" applyBorder="1" applyAlignment="1">
      <alignment horizontal="center" vertical="center"/>
    </xf>
    <xf numFmtId="0" fontId="53" fillId="0" borderId="0" xfId="0" applyFont="1"/>
    <xf numFmtId="0" fontId="28" fillId="0" borderId="7" xfId="0" applyFont="1" applyBorder="1" applyAlignment="1">
      <alignment horizontal="center" vertical="center"/>
    </xf>
    <xf numFmtId="0" fontId="34" fillId="0" borderId="2" xfId="0" applyFont="1" applyBorder="1" applyAlignment="1">
      <alignment horizontal="center" vertical="center"/>
    </xf>
    <xf numFmtId="0" fontId="51" fillId="0" borderId="33" xfId="0" applyFont="1" applyBorder="1"/>
    <xf numFmtId="0" fontId="19" fillId="0" borderId="27" xfId="0" applyFont="1" applyBorder="1"/>
    <xf numFmtId="0" fontId="19" fillId="0" borderId="26" xfId="0" applyFont="1" applyBorder="1"/>
    <xf numFmtId="0" fontId="34" fillId="0" borderId="29" xfId="0" applyFont="1" applyBorder="1"/>
    <xf numFmtId="0" fontId="34" fillId="0" borderId="31" xfId="0" applyFont="1" applyBorder="1"/>
    <xf numFmtId="10" fontId="38" fillId="0" borderId="25" xfId="2" applyNumberFormat="1" applyFont="1" applyFill="1" applyBorder="1" applyAlignment="1">
      <alignment horizontal="center"/>
    </xf>
    <xf numFmtId="0" fontId="34" fillId="0" borderId="20" xfId="0" applyFont="1" applyBorder="1"/>
    <xf numFmtId="10" fontId="38" fillId="0" borderId="26" xfId="2" applyNumberFormat="1" applyFont="1" applyFill="1" applyBorder="1" applyAlignment="1">
      <alignment horizontal="center"/>
    </xf>
    <xf numFmtId="0" fontId="34" fillId="0" borderId="22" xfId="0" applyFont="1" applyBorder="1"/>
    <xf numFmtId="0" fontId="34" fillId="0" borderId="1" xfId="0" applyFont="1" applyBorder="1"/>
    <xf numFmtId="10" fontId="38" fillId="0" borderId="27" xfId="2" applyNumberFormat="1" applyFont="1" applyFill="1" applyBorder="1" applyAlignment="1">
      <alignment horizontal="center"/>
    </xf>
    <xf numFmtId="10" fontId="38" fillId="0" borderId="26" xfId="2" applyNumberFormat="1" applyFont="1" applyBorder="1" applyAlignment="1">
      <alignment horizontal="center" vertical="center"/>
    </xf>
    <xf numFmtId="10" fontId="34" fillId="0" borderId="25" xfId="2" applyNumberFormat="1" applyFont="1" applyFill="1" applyBorder="1" applyAlignment="1">
      <alignment horizontal="center"/>
    </xf>
    <xf numFmtId="10" fontId="34" fillId="0" borderId="27" xfId="2" applyNumberFormat="1" applyFont="1" applyFill="1" applyBorder="1" applyAlignment="1">
      <alignment horizontal="center"/>
    </xf>
    <xf numFmtId="10" fontId="38" fillId="0" borderId="0" xfId="2" applyNumberFormat="1" applyFont="1" applyAlignment="1">
      <alignment horizontal="right" vertical="center"/>
    </xf>
    <xf numFmtId="43" fontId="38" fillId="0" borderId="0" xfId="1" applyFont="1" applyAlignment="1">
      <alignment horizontal="right" vertical="center"/>
    </xf>
    <xf numFmtId="43" fontId="38" fillId="0" borderId="0" xfId="1" applyFont="1" applyFill="1" applyAlignment="1">
      <alignment horizontal="right" vertical="center"/>
    </xf>
    <xf numFmtId="10" fontId="34" fillId="0" borderId="0" xfId="2" applyNumberFormat="1" applyFont="1" applyFill="1" applyAlignment="1">
      <alignment horizontal="right"/>
    </xf>
    <xf numFmtId="43" fontId="34" fillId="0" borderId="0" xfId="1" applyFont="1" applyFill="1" applyAlignment="1">
      <alignment horizontal="right"/>
    </xf>
    <xf numFmtId="43" fontId="34" fillId="0" borderId="0" xfId="1" applyFont="1" applyFill="1"/>
    <xf numFmtId="0" fontId="34" fillId="0" borderId="0" xfId="0" applyFont="1" applyAlignment="1">
      <alignment horizontal="center" vertical="center"/>
    </xf>
    <xf numFmtId="0" fontId="22" fillId="0" borderId="25" xfId="0" applyFont="1" applyBorder="1" applyAlignment="1">
      <alignment horizontal="center"/>
    </xf>
    <xf numFmtId="0" fontId="22" fillId="0" borderId="27" xfId="0" applyFont="1" applyBorder="1" applyAlignment="1">
      <alignment horizontal="center"/>
    </xf>
    <xf numFmtId="44" fontId="38" fillId="0" borderId="0" xfId="3" applyFont="1" applyAlignment="1">
      <alignment horizontal="center"/>
    </xf>
    <xf numFmtId="165" fontId="21" fillId="0" borderId="0" xfId="0" applyNumberFormat="1" applyFont="1" applyAlignment="1">
      <alignment horizontal="center"/>
    </xf>
    <xf numFmtId="0" fontId="29" fillId="0" borderId="0" xfId="0" applyFont="1"/>
    <xf numFmtId="0" fontId="33" fillId="0" borderId="0" xfId="0" applyFont="1"/>
    <xf numFmtId="0" fontId="21" fillId="0" borderId="0" xfId="0" applyFont="1" applyAlignment="1">
      <alignment horizontal="right" vertical="center"/>
    </xf>
    <xf numFmtId="0" fontId="0" fillId="0" borderId="34" xfId="0" applyBorder="1"/>
    <xf numFmtId="0" fontId="19" fillId="0" borderId="32" xfId="0" applyFont="1" applyBorder="1"/>
    <xf numFmtId="0" fontId="24" fillId="0" borderId="34" xfId="0" applyFont="1" applyBorder="1" applyAlignment="1">
      <alignment horizontal="right"/>
    </xf>
    <xf numFmtId="10" fontId="24" fillId="0" borderId="16" xfId="2" applyNumberFormat="1" applyFont="1" applyFill="1" applyBorder="1" applyAlignment="1">
      <alignment horizontal="center"/>
    </xf>
    <xf numFmtId="0" fontId="36" fillId="0" borderId="16" xfId="0" applyFont="1" applyBorder="1" applyAlignment="1">
      <alignment horizontal="center"/>
    </xf>
    <xf numFmtId="0" fontId="23" fillId="0" borderId="32" xfId="0" applyFont="1" applyBorder="1"/>
    <xf numFmtId="0" fontId="23" fillId="0" borderId="34" xfId="0" applyFont="1" applyBorder="1" applyAlignment="1">
      <alignment horizontal="right"/>
    </xf>
    <xf numFmtId="0" fontId="23" fillId="0" borderId="34" xfId="0" applyFont="1" applyBorder="1"/>
    <xf numFmtId="0" fontId="19" fillId="0" borderId="34" xfId="0" applyFont="1" applyBorder="1"/>
    <xf numFmtId="0" fontId="34" fillId="0" borderId="7" xfId="0" applyFont="1" applyBorder="1" applyAlignment="1">
      <alignment horizontal="center" vertical="center"/>
    </xf>
    <xf numFmtId="10" fontId="34" fillId="0" borderId="0" xfId="2" applyNumberFormat="1" applyFont="1" applyBorder="1" applyAlignment="1">
      <alignment horizontal="center" vertical="center"/>
    </xf>
    <xf numFmtId="10" fontId="34" fillId="0" borderId="13" xfId="2" applyNumberFormat="1" applyFont="1" applyBorder="1" applyAlignment="1">
      <alignment horizontal="center" vertical="center"/>
    </xf>
    <xf numFmtId="0" fontId="37" fillId="0" borderId="7" xfId="0" applyFont="1" applyBorder="1"/>
    <xf numFmtId="0" fontId="37" fillId="0" borderId="13" xfId="0" applyFont="1" applyBorder="1"/>
    <xf numFmtId="0" fontId="24" fillId="0" borderId="16" xfId="0" applyFont="1" applyBorder="1" applyAlignment="1">
      <alignment horizontal="center" vertical="center"/>
    </xf>
    <xf numFmtId="0" fontId="55" fillId="0" borderId="0" xfId="0" applyFont="1"/>
    <xf numFmtId="0" fontId="24" fillId="0" borderId="16" xfId="0" applyFont="1" applyBorder="1" applyAlignment="1">
      <alignment horizontal="right"/>
    </xf>
    <xf numFmtId="2" fontId="34" fillId="0" borderId="16" xfId="0" applyNumberFormat="1" applyFont="1" applyBorder="1" applyAlignment="1">
      <alignment horizontal="center"/>
    </xf>
    <xf numFmtId="43" fontId="34" fillId="0" borderId="0" xfId="1" applyFont="1" applyBorder="1" applyAlignment="1">
      <alignment horizontal="center" vertical="center"/>
    </xf>
    <xf numFmtId="43" fontId="34" fillId="0" borderId="0" xfId="1" applyFont="1" applyBorder="1" applyAlignment="1">
      <alignment vertical="center"/>
    </xf>
    <xf numFmtId="10" fontId="34" fillId="0" borderId="0" xfId="2" applyNumberFormat="1" applyFont="1" applyBorder="1" applyAlignment="1">
      <alignment vertical="center"/>
    </xf>
    <xf numFmtId="10" fontId="0" fillId="0" borderId="0" xfId="2" applyNumberFormat="1" applyFont="1"/>
    <xf numFmtId="10" fontId="34" fillId="0" borderId="0" xfId="2" applyNumberFormat="1" applyFont="1" applyFill="1" applyBorder="1" applyAlignment="1">
      <alignment horizontal="center" vertical="center"/>
    </xf>
    <xf numFmtId="0" fontId="34" fillId="0" borderId="30" xfId="0" applyFont="1" applyBorder="1"/>
    <xf numFmtId="0" fontId="34" fillId="0" borderId="21" xfId="0" applyFont="1" applyBorder="1"/>
    <xf numFmtId="0" fontId="34" fillId="0" borderId="23" xfId="0" applyFont="1" applyBorder="1"/>
    <xf numFmtId="10" fontId="38" fillId="3" borderId="26" xfId="2" applyNumberFormat="1" applyFont="1" applyFill="1" applyBorder="1" applyAlignment="1">
      <alignment horizontal="center"/>
    </xf>
    <xf numFmtId="0" fontId="19" fillId="0" borderId="24" xfId="0" applyFont="1" applyBorder="1"/>
    <xf numFmtId="10" fontId="28" fillId="0" borderId="3" xfId="2" applyNumberFormat="1" applyFont="1" applyBorder="1" applyAlignment="1">
      <alignment horizontal="center" vertical="center"/>
    </xf>
    <xf numFmtId="10" fontId="23" fillId="0" borderId="0" xfId="2" applyNumberFormat="1" applyFont="1" applyAlignment="1">
      <alignment horizontal="center"/>
    </xf>
    <xf numFmtId="0" fontId="56" fillId="0" borderId="0" xfId="0" applyFont="1"/>
    <xf numFmtId="0" fontId="31" fillId="0" borderId="0" xfId="0" applyFont="1"/>
    <xf numFmtId="164" fontId="21" fillId="0" borderId="0" xfId="1" applyNumberFormat="1" applyFont="1" applyFill="1" applyAlignment="1">
      <alignment horizontal="center"/>
    </xf>
    <xf numFmtId="164" fontId="21" fillId="0" borderId="0" xfId="1" applyNumberFormat="1" applyFont="1" applyFill="1" applyAlignment="1"/>
    <xf numFmtId="2" fontId="24" fillId="0" borderId="16" xfId="0" applyNumberFormat="1" applyFont="1" applyBorder="1" applyAlignment="1">
      <alignment horizontal="center"/>
    </xf>
    <xf numFmtId="10" fontId="24" fillId="0" borderId="16" xfId="2" applyNumberFormat="1" applyFont="1" applyBorder="1" applyAlignment="1">
      <alignment horizontal="center"/>
    </xf>
    <xf numFmtId="2" fontId="24" fillId="0" borderId="16" xfId="0" applyNumberFormat="1" applyFont="1" applyBorder="1" applyAlignment="1">
      <alignment horizontal="center" vertical="center"/>
    </xf>
    <xf numFmtId="10" fontId="24" fillId="0" borderId="16" xfId="2" applyNumberFormat="1" applyFont="1" applyBorder="1" applyAlignment="1">
      <alignment horizontal="center" vertical="center"/>
    </xf>
    <xf numFmtId="10" fontId="38" fillId="0" borderId="27" xfId="2" applyNumberFormat="1" applyFont="1" applyBorder="1" applyAlignment="1">
      <alignment horizontal="center" vertical="center"/>
    </xf>
    <xf numFmtId="0" fontId="21" fillId="0" borderId="0" xfId="0" applyFont="1" applyAlignment="1">
      <alignment horizontal="center" vertical="center"/>
    </xf>
    <xf numFmtId="10" fontId="28" fillId="0" borderId="0" xfId="2" applyNumberFormat="1" applyFont="1" applyBorder="1" applyAlignment="1">
      <alignment horizontal="center" vertical="center"/>
    </xf>
    <xf numFmtId="0" fontId="28" fillId="0" borderId="8" xfId="0" applyFont="1" applyBorder="1" applyAlignment="1">
      <alignment horizontal="right" vertical="center"/>
    </xf>
    <xf numFmtId="0" fontId="30" fillId="0" borderId="17" xfId="0" applyFont="1" applyBorder="1" applyAlignment="1">
      <alignment horizontal="center"/>
    </xf>
    <xf numFmtId="10" fontId="21" fillId="0" borderId="0" xfId="0" applyNumberFormat="1" applyFont="1" applyAlignment="1">
      <alignment horizontal="center"/>
    </xf>
    <xf numFmtId="0" fontId="21" fillId="0" borderId="2" xfId="0" quotePrefix="1" applyFont="1" applyBorder="1" applyAlignment="1">
      <alignment horizontal="center"/>
    </xf>
    <xf numFmtId="0" fontId="6" fillId="0" borderId="0" xfId="0" applyFont="1"/>
    <xf numFmtId="0" fontId="57" fillId="0" borderId="0" xfId="0" applyFont="1" applyAlignment="1">
      <alignment horizontal="center"/>
    </xf>
    <xf numFmtId="0" fontId="37" fillId="0" borderId="0" xfId="0" applyFont="1" applyAlignment="1">
      <alignment horizontal="left"/>
    </xf>
    <xf numFmtId="0" fontId="54" fillId="0" borderId="0" xfId="0" applyFont="1" applyAlignment="1">
      <alignment horizontal="left"/>
    </xf>
    <xf numFmtId="0" fontId="58" fillId="0" borderId="0" xfId="0" applyFont="1"/>
    <xf numFmtId="0" fontId="37" fillId="0" borderId="0" xfId="0" applyFont="1" applyAlignment="1">
      <alignment horizontal="right"/>
    </xf>
    <xf numFmtId="0" fontId="37" fillId="0" borderId="2" xfId="0" applyFont="1" applyBorder="1" applyAlignment="1">
      <alignment horizontal="center"/>
    </xf>
    <xf numFmtId="0" fontId="54" fillId="0" borderId="0" xfId="0" applyFont="1"/>
    <xf numFmtId="10" fontId="28" fillId="0" borderId="10" xfId="2" applyNumberFormat="1" applyFont="1" applyFill="1" applyBorder="1" applyAlignment="1">
      <alignment horizontal="center" vertical="center"/>
    </xf>
    <xf numFmtId="43" fontId="24" fillId="0" borderId="16" xfId="1" applyFont="1" applyBorder="1" applyAlignment="1">
      <alignment horizontal="center" vertical="center"/>
    </xf>
    <xf numFmtId="168" fontId="38" fillId="0" borderId="16" xfId="1" applyNumberFormat="1" applyFont="1" applyFill="1" applyBorder="1"/>
    <xf numFmtId="15" fontId="34" fillId="0" borderId="24" xfId="0" applyNumberFormat="1" applyFont="1" applyBorder="1" applyAlignment="1">
      <alignment horizontal="center"/>
    </xf>
    <xf numFmtId="15" fontId="34" fillId="0" borderId="12" xfId="0" applyNumberFormat="1" applyFont="1" applyBorder="1" applyAlignment="1">
      <alignment horizontal="center"/>
    </xf>
    <xf numFmtId="15" fontId="34" fillId="0" borderId="13" xfId="0" applyNumberFormat="1" applyFont="1" applyBorder="1" applyAlignment="1">
      <alignment horizontal="center"/>
    </xf>
    <xf numFmtId="0" fontId="34" fillId="0" borderId="13" xfId="0" applyFont="1" applyBorder="1" applyAlignment="1">
      <alignment horizontal="center"/>
    </xf>
    <xf numFmtId="0" fontId="53" fillId="0" borderId="0" xfId="0" applyFont="1" applyAlignment="1">
      <alignment horizontal="center" vertical="center"/>
    </xf>
    <xf numFmtId="0" fontId="53" fillId="0" borderId="1" xfId="0" applyFont="1" applyBorder="1" applyAlignment="1">
      <alignment horizontal="center" vertical="center"/>
    </xf>
    <xf numFmtId="0" fontId="0" fillId="0" borderId="1" xfId="0" applyBorder="1"/>
    <xf numFmtId="0" fontId="34" fillId="0" borderId="1" xfId="0" applyFont="1" applyBorder="1" applyAlignment="1">
      <alignment horizontal="center"/>
    </xf>
    <xf numFmtId="10" fontId="38" fillId="0" borderId="1" xfId="2" applyNumberFormat="1" applyFont="1" applyFill="1" applyBorder="1" applyAlignment="1">
      <alignment horizontal="center"/>
    </xf>
    <xf numFmtId="43" fontId="38" fillId="0" borderId="1" xfId="1" applyFont="1" applyFill="1" applyBorder="1" applyAlignment="1">
      <alignment horizontal="center"/>
    </xf>
    <xf numFmtId="43" fontId="38" fillId="0" borderId="0" xfId="1" applyFont="1" applyAlignment="1">
      <alignment horizontal="center"/>
    </xf>
    <xf numFmtId="43" fontId="38" fillId="0" borderId="0" xfId="1" applyFont="1" applyFill="1" applyAlignment="1">
      <alignment horizontal="center"/>
    </xf>
    <xf numFmtId="0" fontId="53" fillId="0" borderId="0" xfId="0" applyFont="1" applyAlignment="1">
      <alignment horizontal="right"/>
    </xf>
    <xf numFmtId="43" fontId="53" fillId="0" borderId="0" xfId="0" applyNumberFormat="1" applyFont="1"/>
    <xf numFmtId="2" fontId="53" fillId="0" borderId="0" xfId="0" applyNumberFormat="1" applyFont="1"/>
    <xf numFmtId="0" fontId="34" fillId="0" borderId="5" xfId="0" applyFont="1" applyBorder="1" applyAlignment="1">
      <alignment horizontal="center"/>
    </xf>
    <xf numFmtId="0" fontId="34" fillId="0" borderId="24" xfId="0" applyFont="1" applyBorder="1" applyAlignment="1">
      <alignment horizontal="center"/>
    </xf>
    <xf numFmtId="0" fontId="34" fillId="0" borderId="6" xfId="0" applyFont="1" applyBorder="1" applyAlignment="1">
      <alignment horizontal="center"/>
    </xf>
    <xf numFmtId="164" fontId="38" fillId="0" borderId="10" xfId="1" applyNumberFormat="1" applyFont="1" applyFill="1" applyBorder="1" applyAlignment="1">
      <alignment horizontal="center"/>
    </xf>
    <xf numFmtId="164" fontId="38" fillId="0" borderId="13" xfId="1" applyNumberFormat="1" applyFont="1" applyFill="1" applyBorder="1" applyAlignment="1">
      <alignment horizontal="center"/>
    </xf>
    <xf numFmtId="169" fontId="21" fillId="0" borderId="26" xfId="0" applyNumberFormat="1" applyFont="1" applyBorder="1" applyAlignment="1">
      <alignment horizontal="center" vertical="center"/>
    </xf>
    <xf numFmtId="0" fontId="22" fillId="0" borderId="0" xfId="0" applyFont="1" applyAlignment="1">
      <alignment horizontal="center"/>
    </xf>
    <xf numFmtId="10" fontId="38" fillId="0" borderId="0" xfId="2" applyNumberFormat="1" applyFont="1" applyFill="1" applyBorder="1" applyAlignment="1">
      <alignment horizontal="center"/>
    </xf>
    <xf numFmtId="10" fontId="38" fillId="0" borderId="0" xfId="2" applyNumberFormat="1" applyFont="1" applyBorder="1" applyAlignment="1">
      <alignment horizontal="center" vertical="center"/>
    </xf>
    <xf numFmtId="10" fontId="28" fillId="0" borderId="3" xfId="2" applyNumberFormat="1" applyFont="1" applyFill="1" applyBorder="1" applyAlignment="1">
      <alignment horizontal="center" vertical="center"/>
    </xf>
    <xf numFmtId="0" fontId="24" fillId="0" borderId="19" xfId="0" applyFont="1" applyBorder="1" applyAlignment="1">
      <alignment horizontal="center" vertical="center"/>
    </xf>
    <xf numFmtId="0" fontId="28" fillId="0" borderId="32" xfId="0" applyFont="1" applyBorder="1"/>
    <xf numFmtId="0" fontId="19" fillId="0" borderId="33" xfId="0" applyFont="1" applyBorder="1"/>
    <xf numFmtId="0" fontId="34" fillId="0" borderId="32" xfId="0" applyFont="1" applyBorder="1"/>
    <xf numFmtId="0" fontId="34" fillId="0" borderId="34" xfId="0" applyFont="1" applyBorder="1"/>
    <xf numFmtId="15" fontId="34" fillId="0" borderId="6" xfId="0" applyNumberFormat="1" applyFont="1" applyBorder="1" applyAlignment="1">
      <alignment horizontal="center"/>
    </xf>
    <xf numFmtId="15" fontId="34" fillId="0" borderId="24" xfId="0" quotePrefix="1" applyNumberFormat="1" applyFont="1" applyBorder="1" applyAlignment="1">
      <alignment horizontal="center"/>
    </xf>
    <xf numFmtId="15" fontId="34" fillId="0" borderId="0" xfId="0" applyNumberFormat="1" applyFont="1" applyAlignment="1">
      <alignment horizontal="center"/>
    </xf>
    <xf numFmtId="0" fontId="61" fillId="0" borderId="0" xfId="0" applyFont="1"/>
    <xf numFmtId="0" fontId="34" fillId="0" borderId="12" xfId="0" applyFont="1" applyBorder="1" applyAlignment="1">
      <alignment horizontal="center"/>
    </xf>
    <xf numFmtId="0" fontId="35" fillId="0" borderId="35" xfId="0" applyFont="1" applyBorder="1" applyAlignment="1">
      <alignment horizontal="center"/>
    </xf>
    <xf numFmtId="10" fontId="36" fillId="0" borderId="0" xfId="2" applyNumberFormat="1" applyFont="1" applyFill="1" applyBorder="1"/>
    <xf numFmtId="0" fontId="34" fillId="4" borderId="20" xfId="0" applyFont="1" applyFill="1" applyBorder="1"/>
    <xf numFmtId="0" fontId="38" fillId="4" borderId="20" xfId="0" applyFont="1" applyFill="1" applyBorder="1"/>
    <xf numFmtId="0" fontId="38" fillId="3" borderId="20" xfId="0" applyFont="1" applyFill="1" applyBorder="1"/>
    <xf numFmtId="0" fontId="62" fillId="0" borderId="0" xfId="0" applyFont="1" applyAlignment="1">
      <alignment horizontal="left" vertical="top" wrapText="1"/>
    </xf>
    <xf numFmtId="0" fontId="37" fillId="0" borderId="0" xfId="0" applyFont="1" applyAlignment="1">
      <alignment horizontal="left" vertical="center"/>
    </xf>
    <xf numFmtId="0" fontId="28" fillId="0" borderId="28" xfId="0" applyFont="1" applyBorder="1" applyAlignment="1">
      <alignment horizontal="center"/>
    </xf>
    <xf numFmtId="0" fontId="37" fillId="3" borderId="26" xfId="0" applyFont="1" applyFill="1" applyBorder="1" applyAlignment="1">
      <alignment horizontal="center"/>
    </xf>
    <xf numFmtId="0" fontId="19" fillId="3" borderId="26" xfId="0" applyFont="1" applyFill="1" applyBorder="1" applyAlignment="1">
      <alignment horizontal="center"/>
    </xf>
    <xf numFmtId="0" fontId="37" fillId="3" borderId="27" xfId="0" applyFont="1" applyFill="1" applyBorder="1" applyAlignment="1">
      <alignment horizontal="center"/>
    </xf>
    <xf numFmtId="0" fontId="19" fillId="3" borderId="27" xfId="0" applyFont="1" applyFill="1" applyBorder="1" applyAlignment="1">
      <alignment horizontal="center"/>
    </xf>
    <xf numFmtId="43" fontId="24" fillId="0" borderId="0" xfId="1" applyFont="1" applyFill="1" applyBorder="1" applyAlignment="1">
      <alignment horizontal="center" vertical="center"/>
    </xf>
    <xf numFmtId="0" fontId="19" fillId="3" borderId="29" xfId="0" applyFont="1" applyFill="1" applyBorder="1" applyAlignment="1">
      <alignment horizontal="center"/>
    </xf>
    <xf numFmtId="0" fontId="19" fillId="3" borderId="30" xfId="0" applyFont="1" applyFill="1" applyBorder="1" applyAlignment="1">
      <alignment horizontal="center"/>
    </xf>
    <xf numFmtId="0" fontId="19" fillId="3" borderId="21" xfId="0" applyFont="1" applyFill="1" applyBorder="1" applyAlignment="1">
      <alignment horizontal="center"/>
    </xf>
    <xf numFmtId="0" fontId="19" fillId="3" borderId="23" xfId="0" applyFont="1" applyFill="1" applyBorder="1" applyAlignment="1">
      <alignment horizontal="center"/>
    </xf>
    <xf numFmtId="0" fontId="37" fillId="3" borderId="25" xfId="0" applyFont="1" applyFill="1" applyBorder="1" applyAlignment="1">
      <alignment horizontal="center"/>
    </xf>
    <xf numFmtId="1" fontId="22" fillId="0" borderId="0" xfId="0" applyNumberFormat="1" applyFont="1" applyAlignment="1">
      <alignment horizontal="center"/>
    </xf>
    <xf numFmtId="164" fontId="22" fillId="0" borderId="0" xfId="1" applyNumberFormat="1" applyFont="1" applyFill="1" applyAlignment="1">
      <alignment horizontal="center"/>
    </xf>
    <xf numFmtId="164" fontId="22" fillId="0" borderId="1" xfId="1" applyNumberFormat="1" applyFont="1" applyFill="1" applyBorder="1" applyAlignment="1">
      <alignment horizontal="center"/>
    </xf>
    <xf numFmtId="0" fontId="40" fillId="0" borderId="14" xfId="0" applyFont="1" applyBorder="1" applyAlignment="1">
      <alignment horizontal="center"/>
    </xf>
    <xf numFmtId="0" fontId="40" fillId="0" borderId="3" xfId="0" applyFont="1" applyBorder="1" applyAlignment="1">
      <alignment horizontal="center"/>
    </xf>
    <xf numFmtId="0" fontId="35" fillId="0" borderId="36" xfId="0" applyFont="1" applyBorder="1" applyAlignment="1">
      <alignment horizontal="center"/>
    </xf>
    <xf numFmtId="0" fontId="35" fillId="0" borderId="17" xfId="0" applyFont="1" applyBorder="1" applyAlignment="1">
      <alignment horizontal="center"/>
    </xf>
    <xf numFmtId="0" fontId="0" fillId="0" borderId="8" xfId="0" applyBorder="1"/>
    <xf numFmtId="0" fontId="0" fillId="0" borderId="14" xfId="0" applyBorder="1"/>
    <xf numFmtId="0" fontId="34" fillId="0" borderId="16" xfId="0" applyFont="1" applyBorder="1" applyAlignment="1">
      <alignment horizontal="right"/>
    </xf>
    <xf numFmtId="0" fontId="34" fillId="0" borderId="8" xfId="0" applyFont="1" applyBorder="1"/>
    <xf numFmtId="164" fontId="38" fillId="0" borderId="3" xfId="1" applyNumberFormat="1" applyFont="1" applyFill="1" applyBorder="1" applyAlignment="1">
      <alignment horizontal="center"/>
    </xf>
    <xf numFmtId="165" fontId="22" fillId="0" borderId="0" xfId="3" applyNumberFormat="1" applyFont="1" applyFill="1" applyAlignment="1">
      <alignment horizontal="right"/>
    </xf>
    <xf numFmtId="2" fontId="15" fillId="0" borderId="0" xfId="0" applyNumberFormat="1" applyFont="1" applyAlignment="1">
      <alignment horizontal="center"/>
    </xf>
    <xf numFmtId="2" fontId="15" fillId="0" borderId="4" xfId="0" applyNumberFormat="1" applyFont="1" applyBorder="1" applyAlignment="1">
      <alignment horizontal="center"/>
    </xf>
    <xf numFmtId="0" fontId="35" fillId="0" borderId="37" xfId="0" applyFont="1" applyBorder="1" applyAlignment="1">
      <alignment horizontal="center"/>
    </xf>
    <xf numFmtId="2" fontId="38" fillId="0" borderId="13" xfId="0" applyNumberFormat="1" applyFont="1" applyBorder="1" applyAlignment="1">
      <alignment horizontal="center"/>
    </xf>
    <xf numFmtId="164" fontId="46" fillId="0" borderId="0" xfId="1" applyNumberFormat="1" applyFont="1" applyFill="1" applyBorder="1"/>
    <xf numFmtId="164" fontId="0" fillId="0" borderId="0" xfId="1" applyNumberFormat="1" applyFont="1"/>
    <xf numFmtId="164" fontId="21" fillId="0" borderId="0" xfId="0" applyNumberFormat="1" applyFont="1" applyAlignment="1">
      <alignment horizontal="right"/>
    </xf>
    <xf numFmtId="10" fontId="24" fillId="0" borderId="32" xfId="2" applyNumberFormat="1" applyFont="1" applyFill="1" applyBorder="1" applyAlignment="1">
      <alignment horizontal="right"/>
    </xf>
    <xf numFmtId="10" fontId="24" fillId="0" borderId="34" xfId="0" applyNumberFormat="1" applyFont="1" applyBorder="1"/>
    <xf numFmtId="10" fontId="38" fillId="0" borderId="16" xfId="2" applyNumberFormat="1" applyFont="1" applyFill="1" applyBorder="1"/>
    <xf numFmtId="43" fontId="24" fillId="0" borderId="16" xfId="1" applyFont="1" applyFill="1" applyBorder="1" applyAlignment="1">
      <alignment horizontal="center" vertical="center"/>
    </xf>
    <xf numFmtId="0" fontId="0" fillId="0" borderId="6" xfId="0" applyBorder="1"/>
    <xf numFmtId="10" fontId="38" fillId="0" borderId="0" xfId="2" applyNumberFormat="1" applyFont="1" applyFill="1" applyBorder="1" applyAlignment="1">
      <alignment horizontal="right"/>
    </xf>
    <xf numFmtId="10" fontId="22" fillId="0" borderId="0" xfId="2" applyNumberFormat="1" applyFont="1" applyFill="1" applyAlignment="1">
      <alignment horizontal="center" vertical="center"/>
    </xf>
    <xf numFmtId="10" fontId="22" fillId="0" borderId="1" xfId="2" applyNumberFormat="1" applyFont="1" applyFill="1" applyBorder="1" applyAlignment="1">
      <alignment horizontal="center" vertical="center"/>
    </xf>
    <xf numFmtId="166" fontId="22" fillId="0" borderId="0" xfId="1" applyNumberFormat="1" applyFont="1" applyFill="1" applyAlignment="1">
      <alignment horizontal="center" vertical="center"/>
    </xf>
    <xf numFmtId="165" fontId="22" fillId="0" borderId="0" xfId="3" applyNumberFormat="1" applyFont="1" applyFill="1" applyAlignment="1">
      <alignment horizontal="center"/>
    </xf>
    <xf numFmtId="10" fontId="22" fillId="0" borderId="0" xfId="2" applyNumberFormat="1" applyFont="1" applyFill="1" applyAlignment="1">
      <alignment horizontal="right" vertical="center"/>
    </xf>
    <xf numFmtId="10" fontId="36" fillId="0" borderId="28" xfId="2" applyNumberFormat="1" applyFont="1" applyFill="1" applyBorder="1"/>
    <xf numFmtId="43" fontId="36" fillId="0" borderId="28" xfId="1" applyFont="1" applyFill="1" applyBorder="1"/>
    <xf numFmtId="0" fontId="36" fillId="0" borderId="28" xfId="0" applyFont="1" applyBorder="1"/>
    <xf numFmtId="2" fontId="36" fillId="0" borderId="28" xfId="0" applyNumberFormat="1" applyFont="1" applyBorder="1"/>
    <xf numFmtId="10" fontId="21" fillId="0" borderId="0" xfId="2" applyNumberFormat="1" applyFont="1" applyFill="1" applyAlignment="1">
      <alignment horizontal="right" vertical="center"/>
    </xf>
    <xf numFmtId="10" fontId="21" fillId="0" borderId="0" xfId="2" applyNumberFormat="1" applyFont="1" applyFill="1" applyBorder="1" applyAlignment="1">
      <alignment horizontal="right" vertical="center"/>
    </xf>
    <xf numFmtId="10" fontId="23" fillId="0" borderId="16" xfId="2" applyNumberFormat="1" applyFont="1" applyFill="1" applyBorder="1"/>
    <xf numFmtId="10" fontId="23" fillId="0" borderId="16" xfId="2" applyNumberFormat="1" applyFont="1" applyFill="1" applyBorder="1" applyAlignment="1">
      <alignment horizontal="center"/>
    </xf>
    <xf numFmtId="0" fontId="64" fillId="0" borderId="0" xfId="0" applyFont="1"/>
    <xf numFmtId="0" fontId="19" fillId="0" borderId="23" xfId="0" applyFont="1" applyBorder="1"/>
    <xf numFmtId="0" fontId="0" fillId="0" borderId="33" xfId="0" applyBorder="1"/>
    <xf numFmtId="10" fontId="22" fillId="0" borderId="0" xfId="2" applyNumberFormat="1" applyFont="1" applyAlignment="1">
      <alignment horizontal="right"/>
    </xf>
    <xf numFmtId="10" fontId="22" fillId="0" borderId="4" xfId="2" applyNumberFormat="1" applyFont="1" applyFill="1" applyBorder="1" applyAlignment="1">
      <alignment horizontal="right"/>
    </xf>
    <xf numFmtId="10" fontId="22" fillId="0" borderId="4" xfId="2" applyNumberFormat="1" applyFont="1" applyBorder="1" applyAlignment="1">
      <alignment horizontal="right"/>
    </xf>
    <xf numFmtId="0" fontId="15" fillId="0" borderId="0" xfId="0" applyFont="1" applyAlignment="1">
      <alignment horizontal="center"/>
    </xf>
    <xf numFmtId="0" fontId="38" fillId="0" borderId="10" xfId="0" applyFont="1" applyBorder="1"/>
    <xf numFmtId="3" fontId="38" fillId="0" borderId="3" xfId="0" applyNumberFormat="1" applyFont="1" applyBorder="1"/>
    <xf numFmtId="3" fontId="38" fillId="0" borderId="14" xfId="0" applyNumberFormat="1" applyFont="1" applyBorder="1"/>
    <xf numFmtId="3" fontId="38" fillId="0" borderId="10" xfId="0" applyNumberFormat="1" applyFont="1" applyBorder="1"/>
    <xf numFmtId="3" fontId="38" fillId="0" borderId="13" xfId="0" applyNumberFormat="1" applyFont="1" applyBorder="1"/>
    <xf numFmtId="3" fontId="34" fillId="0" borderId="10" xfId="0" applyNumberFormat="1" applyFont="1" applyBorder="1"/>
    <xf numFmtId="3" fontId="65" fillId="0" borderId="10" xfId="0" applyNumberFormat="1" applyFont="1" applyBorder="1"/>
    <xf numFmtId="3" fontId="65" fillId="0" borderId="13" xfId="0" applyNumberFormat="1" applyFont="1" applyBorder="1" applyAlignment="1">
      <alignment horizontal="right" vertical="center" wrapText="1"/>
    </xf>
    <xf numFmtId="0" fontId="46" fillId="0" borderId="7" xfId="0" applyFont="1" applyBorder="1"/>
    <xf numFmtId="164" fontId="22" fillId="0" borderId="0" xfId="1" applyNumberFormat="1" applyFont="1" applyFill="1" applyAlignment="1"/>
    <xf numFmtId="164" fontId="22" fillId="0" borderId="1" xfId="1" applyNumberFormat="1" applyFont="1" applyFill="1" applyBorder="1" applyAlignment="1"/>
    <xf numFmtId="10" fontId="50" fillId="0" borderId="0" xfId="2" applyNumberFormat="1" applyFont="1" applyFill="1" applyBorder="1" applyAlignment="1">
      <alignment horizontal="right"/>
    </xf>
    <xf numFmtId="10" fontId="50" fillId="0" borderId="0" xfId="2" applyNumberFormat="1" applyFont="1" applyFill="1" applyBorder="1" applyAlignment="1">
      <alignment horizontal="center"/>
    </xf>
    <xf numFmtId="2" fontId="38" fillId="0" borderId="38" xfId="0" applyNumberFormat="1" applyFont="1" applyBorder="1" applyAlignment="1">
      <alignment horizontal="center"/>
    </xf>
    <xf numFmtId="43" fontId="22" fillId="0" borderId="1" xfId="1" applyFont="1" applyFill="1" applyBorder="1" applyAlignment="1">
      <alignment horizontal="right" vertical="center"/>
    </xf>
    <xf numFmtId="10" fontId="22" fillId="0" borderId="1" xfId="2" applyNumberFormat="1" applyFont="1" applyFill="1" applyBorder="1" applyAlignment="1">
      <alignment horizontal="right" vertical="center"/>
    </xf>
    <xf numFmtId="43" fontId="38" fillId="0" borderId="1" xfId="1" applyFont="1" applyBorder="1" applyAlignment="1">
      <alignment horizontal="right" vertical="center"/>
    </xf>
    <xf numFmtId="43" fontId="38" fillId="0" borderId="1" xfId="1" applyFont="1" applyFill="1" applyBorder="1" applyAlignment="1">
      <alignment horizontal="right" vertical="center"/>
    </xf>
    <xf numFmtId="0" fontId="21" fillId="0" borderId="1" xfId="0" applyFont="1" applyBorder="1" applyAlignment="1">
      <alignment horizontal="right"/>
    </xf>
    <xf numFmtId="10" fontId="22" fillId="0" borderId="1" xfId="2" applyNumberFormat="1" applyFont="1" applyBorder="1" applyAlignment="1">
      <alignment horizontal="right" vertical="center"/>
    </xf>
    <xf numFmtId="0" fontId="34" fillId="0" borderId="1" xfId="0" applyFont="1" applyBorder="1" applyAlignment="1">
      <alignment horizontal="right"/>
    </xf>
    <xf numFmtId="10" fontId="34" fillId="0" borderId="1" xfId="2" applyNumberFormat="1" applyFont="1" applyFill="1" applyBorder="1"/>
    <xf numFmtId="166" fontId="22" fillId="0" borderId="1" xfId="1" applyNumberFormat="1" applyFont="1" applyFill="1" applyBorder="1" applyAlignment="1">
      <alignment horizontal="center" vertical="center"/>
    </xf>
    <xf numFmtId="2" fontId="22" fillId="0" borderId="1" xfId="0" applyNumberFormat="1" applyFont="1" applyBorder="1" applyAlignment="1">
      <alignment horizontal="right" vertical="center"/>
    </xf>
    <xf numFmtId="2" fontId="0" fillId="0" borderId="0" xfId="0" applyNumberFormat="1"/>
    <xf numFmtId="10" fontId="52" fillId="0" borderId="0" xfId="2" applyNumberFormat="1" applyFont="1" applyFill="1" applyAlignment="1">
      <alignment horizontal="right"/>
    </xf>
    <xf numFmtId="10" fontId="52" fillId="0" borderId="0" xfId="2" applyNumberFormat="1" applyFont="1" applyAlignment="1">
      <alignment horizontal="right"/>
    </xf>
    <xf numFmtId="10" fontId="52" fillId="0" borderId="4" xfId="2" applyNumberFormat="1" applyFont="1" applyBorder="1" applyAlignment="1">
      <alignment horizontal="right"/>
    </xf>
    <xf numFmtId="10" fontId="42" fillId="0" borderId="0" xfId="2" applyNumberFormat="1" applyFont="1" applyFill="1" applyAlignment="1">
      <alignment horizontal="right"/>
    </xf>
    <xf numFmtId="10" fontId="52" fillId="0" borderId="4" xfId="2" applyNumberFormat="1" applyFont="1" applyFill="1" applyBorder="1" applyAlignment="1">
      <alignment horizontal="center"/>
    </xf>
    <xf numFmtId="10" fontId="27" fillId="0" borderId="0" xfId="2" applyNumberFormat="1" applyFont="1" applyFill="1" applyAlignment="1">
      <alignment horizontal="center"/>
    </xf>
    <xf numFmtId="0" fontId="66" fillId="0" borderId="10" xfId="0" applyFont="1" applyBorder="1"/>
    <xf numFmtId="0" fontId="28" fillId="0" borderId="8" xfId="0" applyFont="1" applyBorder="1" applyAlignment="1">
      <alignment horizontal="center" vertical="center"/>
    </xf>
    <xf numFmtId="0" fontId="19" fillId="0" borderId="0" xfId="0" applyFont="1" applyAlignment="1">
      <alignment horizontal="right"/>
    </xf>
    <xf numFmtId="0" fontId="46" fillId="0" borderId="10" xfId="0" applyFont="1" applyBorder="1"/>
    <xf numFmtId="0" fontId="46" fillId="0" borderId="3" xfId="0" applyFont="1" applyBorder="1"/>
    <xf numFmtId="10" fontId="28" fillId="0" borderId="0" xfId="2" applyNumberFormat="1" applyFont="1" applyFill="1" applyBorder="1" applyAlignment="1">
      <alignment horizontal="center" vertical="center"/>
    </xf>
    <xf numFmtId="10" fontId="28" fillId="0" borderId="2" xfId="2" applyNumberFormat="1" applyFont="1" applyBorder="1" applyAlignment="1">
      <alignment horizontal="center" vertical="center"/>
    </xf>
    <xf numFmtId="0" fontId="19" fillId="0" borderId="21" xfId="0" applyFont="1" applyBorder="1"/>
    <xf numFmtId="169" fontId="21" fillId="0" borderId="21" xfId="0" applyNumberFormat="1" applyFont="1" applyBorder="1" applyAlignment="1">
      <alignment horizontal="center" vertical="center"/>
    </xf>
    <xf numFmtId="10" fontId="28" fillId="0" borderId="0" xfId="2" applyNumberFormat="1" applyFont="1" applyAlignment="1">
      <alignment horizontal="left"/>
    </xf>
    <xf numFmtId="10" fontId="23" fillId="0" borderId="0" xfId="2" applyNumberFormat="1" applyFont="1" applyFill="1" applyAlignment="1">
      <alignment horizontal="center"/>
    </xf>
    <xf numFmtId="0" fontId="67" fillId="0" borderId="0" xfId="0" applyFont="1"/>
    <xf numFmtId="10" fontId="34" fillId="0" borderId="26" xfId="2" applyNumberFormat="1" applyFont="1" applyFill="1" applyBorder="1" applyAlignment="1">
      <alignment horizontal="center"/>
    </xf>
    <xf numFmtId="169" fontId="34" fillId="0" borderId="27" xfId="2" applyNumberFormat="1" applyFont="1" applyFill="1" applyBorder="1" applyAlignment="1">
      <alignment horizontal="center"/>
    </xf>
    <xf numFmtId="10" fontId="47" fillId="0" borderId="16" xfId="2" applyNumberFormat="1" applyFont="1" applyFill="1" applyBorder="1" applyAlignment="1">
      <alignment horizontal="center"/>
    </xf>
    <xf numFmtId="2" fontId="38" fillId="0" borderId="7" xfId="0" applyNumberFormat="1" applyFont="1" applyBorder="1" applyAlignment="1">
      <alignment horizontal="center"/>
    </xf>
    <xf numFmtId="2" fontId="38" fillId="0" borderId="3" xfId="0" applyNumberFormat="1" applyFont="1" applyBorder="1" applyAlignment="1">
      <alignment horizontal="center"/>
    </xf>
    <xf numFmtId="2" fontId="38" fillId="0" borderId="8" xfId="0" applyNumberFormat="1" applyFont="1" applyBorder="1" applyAlignment="1">
      <alignment horizontal="center"/>
    </xf>
    <xf numFmtId="2" fontId="38" fillId="0" borderId="2" xfId="0" applyNumberFormat="1" applyFont="1" applyBorder="1" applyAlignment="1">
      <alignment horizontal="center"/>
    </xf>
    <xf numFmtId="2" fontId="38" fillId="0" borderId="14" xfId="0" applyNumberFormat="1" applyFont="1" applyBorder="1" applyAlignment="1">
      <alignment horizontal="center"/>
    </xf>
    <xf numFmtId="0" fontId="38" fillId="0" borderId="18" xfId="0" applyFont="1" applyBorder="1"/>
    <xf numFmtId="10" fontId="38" fillId="0" borderId="28" xfId="2" applyNumberFormat="1" applyFont="1" applyFill="1" applyBorder="1" applyAlignment="1">
      <alignment horizontal="center"/>
    </xf>
    <xf numFmtId="0" fontId="28" fillId="0" borderId="3" xfId="0" applyFont="1" applyBorder="1" applyAlignment="1">
      <alignment horizontal="center"/>
    </xf>
    <xf numFmtId="2" fontId="52" fillId="0" borderId="0" xfId="0" applyNumberFormat="1" applyFont="1" applyAlignment="1">
      <alignment horizontal="right"/>
    </xf>
    <xf numFmtId="0" fontId="19" fillId="0" borderId="4" xfId="0" applyFont="1" applyBorder="1" applyAlignment="1">
      <alignment horizontal="right"/>
    </xf>
    <xf numFmtId="0" fontId="21" fillId="0" borderId="39" xfId="0" applyFont="1" applyBorder="1" applyAlignment="1">
      <alignment horizontal="center"/>
    </xf>
    <xf numFmtId="0" fontId="21" fillId="0" borderId="40" xfId="0" applyFont="1" applyBorder="1" applyAlignment="1">
      <alignment horizontal="center"/>
    </xf>
    <xf numFmtId="0" fontId="30" fillId="0" borderId="22" xfId="0" applyFont="1" applyBorder="1" applyAlignment="1">
      <alignment horizontal="center"/>
    </xf>
    <xf numFmtId="0" fontId="21" fillId="0" borderId="20" xfId="0" applyFont="1" applyBorder="1" applyAlignment="1">
      <alignment horizontal="center"/>
    </xf>
    <xf numFmtId="0" fontId="19" fillId="0" borderId="20" xfId="0" applyFont="1" applyBorder="1"/>
    <xf numFmtId="44" fontId="52" fillId="0" borderId="20" xfId="3" applyFont="1" applyFill="1" applyBorder="1" applyAlignment="1">
      <alignment horizontal="center"/>
    </xf>
    <xf numFmtId="44" fontId="22" fillId="0" borderId="20" xfId="3" applyFont="1" applyFill="1" applyBorder="1" applyAlignment="1">
      <alignment horizontal="center"/>
    </xf>
    <xf numFmtId="0" fontId="19" fillId="0" borderId="41" xfId="0" applyFont="1" applyBorder="1"/>
    <xf numFmtId="2" fontId="22" fillId="0" borderId="20" xfId="0" applyNumberFormat="1" applyFont="1" applyBorder="1" applyAlignment="1">
      <alignment horizontal="right" vertical="center"/>
    </xf>
    <xf numFmtId="2" fontId="22" fillId="0" borderId="22" xfId="0" applyNumberFormat="1" applyFont="1" applyBorder="1" applyAlignment="1">
      <alignment horizontal="right" vertical="center"/>
    </xf>
    <xf numFmtId="2" fontId="21" fillId="0" borderId="20" xfId="0" applyNumberFormat="1" applyFont="1" applyBorder="1" applyAlignment="1">
      <alignment horizontal="right"/>
    </xf>
    <xf numFmtId="43" fontId="21" fillId="0" borderId="20" xfId="1" applyFont="1" applyFill="1" applyBorder="1" applyAlignment="1">
      <alignment horizontal="right"/>
    </xf>
    <xf numFmtId="43" fontId="24" fillId="0" borderId="0" xfId="1" applyFont="1" applyBorder="1" applyAlignment="1">
      <alignment horizontal="center" vertical="center"/>
    </xf>
    <xf numFmtId="0" fontId="0" fillId="0" borderId="4" xfId="0" applyBorder="1"/>
    <xf numFmtId="0" fontId="34" fillId="4" borderId="39" xfId="0" applyFont="1" applyFill="1" applyBorder="1"/>
    <xf numFmtId="10" fontId="38" fillId="4" borderId="39" xfId="2" applyNumberFormat="1" applyFont="1" applyFill="1" applyBorder="1" applyAlignment="1">
      <alignment horizontal="center"/>
    </xf>
    <xf numFmtId="10" fontId="38" fillId="4" borderId="20" xfId="2" applyNumberFormat="1" applyFont="1" applyFill="1" applyBorder="1" applyAlignment="1">
      <alignment horizontal="center"/>
    </xf>
    <xf numFmtId="10" fontId="19" fillId="0" borderId="20" xfId="2" applyNumberFormat="1" applyFont="1" applyFill="1" applyBorder="1"/>
    <xf numFmtId="10" fontId="19" fillId="0" borderId="20" xfId="0" applyNumberFormat="1" applyFont="1" applyBorder="1"/>
    <xf numFmtId="0" fontId="38" fillId="3" borderId="22" xfId="0" applyFont="1" applyFill="1" applyBorder="1"/>
    <xf numFmtId="10" fontId="38" fillId="3" borderId="27" xfId="2" applyNumberFormat="1" applyFont="1" applyFill="1" applyBorder="1" applyAlignment="1">
      <alignment horizontal="center"/>
    </xf>
    <xf numFmtId="0" fontId="19" fillId="0" borderId="8" xfId="0" applyFont="1" applyBorder="1"/>
    <xf numFmtId="0" fontId="19" fillId="0" borderId="14" xfId="0" applyFont="1" applyBorder="1"/>
    <xf numFmtId="10" fontId="38" fillId="4" borderId="26" xfId="2" applyNumberFormat="1" applyFont="1" applyFill="1" applyBorder="1" applyAlignment="1">
      <alignment horizontal="center"/>
    </xf>
    <xf numFmtId="0" fontId="38" fillId="3" borderId="26" xfId="0" applyFont="1" applyFill="1" applyBorder="1"/>
    <xf numFmtId="10" fontId="69" fillId="0" borderId="0" xfId="2" applyNumberFormat="1" applyFont="1" applyFill="1" applyAlignment="1">
      <alignment horizontal="center"/>
    </xf>
    <xf numFmtId="169" fontId="34" fillId="0" borderId="25" xfId="2" applyNumberFormat="1" applyFont="1" applyFill="1" applyBorder="1" applyAlignment="1">
      <alignment horizontal="center"/>
    </xf>
    <xf numFmtId="10" fontId="24" fillId="0" borderId="16" xfId="2" applyNumberFormat="1" applyFont="1" applyFill="1" applyBorder="1" applyAlignment="1">
      <alignment horizontal="center" vertical="center"/>
    </xf>
    <xf numFmtId="170" fontId="28" fillId="0" borderId="16" xfId="2" applyNumberFormat="1" applyFont="1" applyFill="1" applyBorder="1" applyAlignment="1">
      <alignment horizontal="center"/>
    </xf>
    <xf numFmtId="10" fontId="43" fillId="0" borderId="16" xfId="2" applyNumberFormat="1" applyFont="1" applyFill="1" applyBorder="1" applyAlignment="1">
      <alignment horizontal="center"/>
    </xf>
    <xf numFmtId="0" fontId="0" fillId="0" borderId="20" xfId="0" applyBorder="1"/>
    <xf numFmtId="10" fontId="69" fillId="0" borderId="0" xfId="2" applyNumberFormat="1" applyFont="1" applyAlignment="1">
      <alignment horizontal="center"/>
    </xf>
    <xf numFmtId="0" fontId="47" fillId="0" borderId="0" xfId="0" applyFont="1"/>
    <xf numFmtId="0" fontId="22" fillId="0" borderId="29" xfId="0" applyFont="1" applyBorder="1" applyAlignment="1">
      <alignment horizontal="right"/>
    </xf>
    <xf numFmtId="0" fontId="22" fillId="0" borderId="30" xfId="0" applyFont="1" applyBorder="1" applyAlignment="1">
      <alignment horizontal="left"/>
    </xf>
    <xf numFmtId="0" fontId="22" fillId="0" borderId="20" xfId="0" applyFont="1" applyBorder="1" applyAlignment="1">
      <alignment horizontal="right"/>
    </xf>
    <xf numFmtId="0" fontId="22" fillId="0" borderId="21" xfId="0" applyFont="1" applyBorder="1" applyAlignment="1">
      <alignment horizontal="left"/>
    </xf>
    <xf numFmtId="0" fontId="22" fillId="0" borderId="22" xfId="0" applyFont="1" applyBorder="1" applyAlignment="1">
      <alignment horizontal="right"/>
    </xf>
    <xf numFmtId="0" fontId="22" fillId="0" borderId="23" xfId="0" applyFont="1" applyBorder="1" applyAlignment="1">
      <alignment horizontal="left"/>
    </xf>
    <xf numFmtId="10" fontId="28" fillId="0" borderId="16" xfId="2" applyNumberFormat="1" applyFont="1" applyFill="1" applyBorder="1" applyAlignment="1">
      <alignment horizontal="center"/>
    </xf>
    <xf numFmtId="10" fontId="50" fillId="0" borderId="0" xfId="2" applyNumberFormat="1" applyFont="1" applyFill="1" applyBorder="1" applyAlignment="1">
      <alignment horizontal="center" vertical="center"/>
    </xf>
    <xf numFmtId="0" fontId="34" fillId="0" borderId="4" xfId="0" applyFont="1" applyBorder="1"/>
    <xf numFmtId="0" fontId="34" fillId="0" borderId="4" xfId="0" applyFont="1" applyBorder="1" applyAlignment="1">
      <alignment horizontal="center"/>
    </xf>
    <xf numFmtId="10" fontId="38" fillId="0" borderId="4" xfId="2" applyNumberFormat="1" applyFont="1" applyFill="1" applyBorder="1"/>
    <xf numFmtId="10" fontId="38" fillId="0" borderId="4" xfId="2" applyNumberFormat="1" applyFont="1" applyFill="1" applyBorder="1" applyAlignment="1">
      <alignment horizontal="center"/>
    </xf>
    <xf numFmtId="0" fontId="48" fillId="0" borderId="0" xfId="6" applyFont="1"/>
    <xf numFmtId="0" fontId="48" fillId="0" borderId="0" xfId="6" applyFont="1" applyFill="1" applyAlignment="1" applyProtection="1"/>
    <xf numFmtId="0" fontId="70" fillId="0" borderId="0" xfId="0" applyFont="1" applyAlignment="1">
      <alignment horizontal="right"/>
    </xf>
    <xf numFmtId="0" fontId="71" fillId="0" borderId="30" xfId="0" applyFont="1" applyBorder="1" applyAlignment="1">
      <alignment horizontal="left"/>
    </xf>
    <xf numFmtId="0" fontId="71" fillId="0" borderId="21" xfId="0" applyFont="1" applyBorder="1" applyAlignment="1">
      <alignment horizontal="left"/>
    </xf>
    <xf numFmtId="0" fontId="71" fillId="0" borderId="23" xfId="0" applyFont="1" applyBorder="1" applyAlignment="1">
      <alignment horizontal="left"/>
    </xf>
    <xf numFmtId="0" fontId="46" fillId="0" borderId="7" xfId="0" applyFont="1" applyBorder="1" applyAlignment="1">
      <alignment horizontal="center" vertical="center"/>
    </xf>
    <xf numFmtId="0" fontId="28" fillId="3" borderId="25" xfId="0" applyFont="1" applyFill="1" applyBorder="1" applyAlignment="1">
      <alignment horizontal="center"/>
    </xf>
    <xf numFmtId="10" fontId="22" fillId="3" borderId="24" xfId="2" applyNumberFormat="1" applyFont="1" applyFill="1" applyBorder="1" applyAlignment="1">
      <alignment horizontal="center"/>
    </xf>
    <xf numFmtId="10" fontId="22" fillId="3" borderId="10" xfId="2" applyNumberFormat="1" applyFont="1" applyFill="1" applyBorder="1" applyAlignment="1">
      <alignment horizontal="center"/>
    </xf>
    <xf numFmtId="10" fontId="22" fillId="3" borderId="3" xfId="2" applyNumberFormat="1" applyFont="1" applyFill="1" applyBorder="1" applyAlignment="1">
      <alignment horizontal="center"/>
    </xf>
    <xf numFmtId="10" fontId="22" fillId="3" borderId="3" xfId="1" applyNumberFormat="1" applyFont="1" applyFill="1" applyBorder="1" applyAlignment="1">
      <alignment horizontal="center"/>
    </xf>
    <xf numFmtId="10" fontId="22" fillId="3" borderId="24" xfId="1" applyNumberFormat="1" applyFont="1" applyFill="1" applyBorder="1" applyAlignment="1">
      <alignment horizontal="center"/>
    </xf>
    <xf numFmtId="10" fontId="22" fillId="3" borderId="10" xfId="1" applyNumberFormat="1" applyFont="1" applyFill="1" applyBorder="1" applyAlignment="1">
      <alignment horizontal="center"/>
    </xf>
    <xf numFmtId="0" fontId="19" fillId="3" borderId="42" xfId="0" applyFont="1" applyFill="1" applyBorder="1" applyAlignment="1">
      <alignment horizontal="center"/>
    </xf>
    <xf numFmtId="0" fontId="37" fillId="3" borderId="0" xfId="0" applyFont="1" applyFill="1" applyAlignment="1">
      <alignment horizontal="center"/>
    </xf>
    <xf numFmtId="0" fontId="37" fillId="3" borderId="29" xfId="0" applyFont="1" applyFill="1" applyBorder="1" applyAlignment="1">
      <alignment horizontal="center"/>
    </xf>
    <xf numFmtId="0" fontId="19" fillId="3" borderId="43" xfId="0" applyFont="1" applyFill="1" applyBorder="1" applyAlignment="1">
      <alignment horizontal="center"/>
    </xf>
    <xf numFmtId="0" fontId="64" fillId="3" borderId="24" xfId="0" applyFont="1" applyFill="1" applyBorder="1"/>
    <xf numFmtId="0" fontId="37" fillId="3" borderId="20" xfId="0" applyFont="1" applyFill="1" applyBorder="1" applyAlignment="1">
      <alignment horizontal="center"/>
    </xf>
    <xf numFmtId="0" fontId="19" fillId="3" borderId="44" xfId="0" applyFont="1" applyFill="1" applyBorder="1" applyAlignment="1">
      <alignment horizontal="center"/>
    </xf>
    <xf numFmtId="0" fontId="64" fillId="3" borderId="10" xfId="0" applyFont="1" applyFill="1" applyBorder="1"/>
    <xf numFmtId="0" fontId="37" fillId="3" borderId="1" xfId="0" applyFont="1" applyFill="1" applyBorder="1" applyAlignment="1">
      <alignment horizontal="center"/>
    </xf>
    <xf numFmtId="0" fontId="37" fillId="3" borderId="22" xfId="0" applyFont="1" applyFill="1" applyBorder="1" applyAlignment="1">
      <alignment horizontal="center"/>
    </xf>
    <xf numFmtId="0" fontId="64" fillId="3" borderId="3" xfId="0" applyFont="1" applyFill="1" applyBorder="1"/>
    <xf numFmtId="0" fontId="64" fillId="3" borderId="16" xfId="0" applyFont="1" applyFill="1" applyBorder="1"/>
    <xf numFmtId="10" fontId="22" fillId="0" borderId="1" xfId="1" applyNumberFormat="1" applyFont="1" applyFill="1" applyBorder="1" applyAlignment="1"/>
    <xf numFmtId="10" fontId="22" fillId="0" borderId="0" xfId="1" applyNumberFormat="1" applyFont="1" applyFill="1" applyAlignment="1">
      <alignment horizontal="right"/>
    </xf>
    <xf numFmtId="10" fontId="22" fillId="0" borderId="20" xfId="2" applyNumberFormat="1" applyFont="1" applyBorder="1" applyAlignment="1">
      <alignment horizontal="right" vertical="center"/>
    </xf>
    <xf numFmtId="10" fontId="22" fillId="0" borderId="22" xfId="2" applyNumberFormat="1" applyFont="1" applyBorder="1" applyAlignment="1">
      <alignment horizontal="right" vertical="center"/>
    </xf>
    <xf numFmtId="2" fontId="36" fillId="0" borderId="18" xfId="0" applyNumberFormat="1" applyFont="1" applyBorder="1"/>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0" fillId="0" borderId="0" xfId="0" applyFont="1" applyAlignment="1">
      <alignment horizontal="left" vertical="top" wrapText="1"/>
    </xf>
    <xf numFmtId="0" fontId="68" fillId="3" borderId="24" xfId="0" applyFont="1" applyFill="1" applyBorder="1" applyAlignment="1">
      <alignment horizontal="center" vertical="center"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10</xdr:col>
      <xdr:colOff>218362</xdr:colOff>
      <xdr:row>40</xdr:row>
      <xdr:rowOff>141952</xdr:rowOff>
    </xdr:to>
    <xdr:pic>
      <xdr:nvPicPr>
        <xdr:cNvPr id="2" name="Picture 1">
          <a:extLst>
            <a:ext uri="{FF2B5EF4-FFF2-40B4-BE49-F238E27FC236}">
              <a16:creationId xmlns:a16="http://schemas.microsoft.com/office/drawing/2014/main" id="{A77A3698-3F0F-C779-66DB-B9838DBB5721}"/>
            </a:ext>
          </a:extLst>
        </xdr:cNvPr>
        <xdr:cNvPicPr>
          <a:picLocks noChangeAspect="1"/>
        </xdr:cNvPicPr>
      </xdr:nvPicPr>
      <xdr:blipFill>
        <a:blip xmlns:r="http://schemas.openxmlformats.org/officeDocument/2006/relationships" r:embed="rId1"/>
        <a:stretch>
          <a:fillRect/>
        </a:stretch>
      </xdr:blipFill>
      <xdr:spPr>
        <a:xfrm>
          <a:off x="609600" y="381000"/>
          <a:ext cx="5704762" cy="73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philadelphiafed.org/research-and-data/real-time-center/livingston-survey" TargetMode="External"/><Relationship Id="rId13" Type="http://schemas.openxmlformats.org/officeDocument/2006/relationships/hyperlink" Target="https://www.federalreserve.gov/monetarypolicy/files/fomcprojtabl20231213.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surveys-and-data/real-time-data-research/survey-of-professional-forecasters"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about/products/budget-economic-data" TargetMode="External"/><Relationship Id="rId11" Type="http://schemas.openxmlformats.org/officeDocument/2006/relationships/hyperlink" Target="https://www.cbo.gov/system/files/2021-02/56970-Outlook.p"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datadownload/Preview.aspx?pi=400&amp;rel=H15&amp;preview=%20H15/H15/RIFLGFCY05_N.WF" TargetMode="External"/><Relationship Id="rId4" Type="http://schemas.openxmlformats.org/officeDocument/2006/relationships/hyperlink" Target="https://www.cbo.gov/publication/59933" TargetMode="External"/><Relationship Id="rId9" Type="http://schemas.openxmlformats.org/officeDocument/2006/relationships/hyperlink" Target="http://www.federalreserve.gov/Releases/H15/Current/" TargetMode="External"/><Relationship Id="rId14" Type="http://schemas.openxmlformats.org/officeDocument/2006/relationships/hyperlink" Target="https://www.philadelphiafed.org/-/media/frbp/assets/surveys-and-data/survey-of-professional-forecasters/2024/spfq12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60" zoomScaleNormal="100" workbookViewId="0">
      <selection activeCell="A10" sqref="A10"/>
    </sheetView>
  </sheetViews>
  <sheetFormatPr defaultRowHeight="14.5"/>
  <cols>
    <col min="5" max="5" width="12.26953125" customWidth="1"/>
    <col min="9" max="9" width="16.453125" customWidth="1"/>
  </cols>
  <sheetData>
    <row r="1" spans="1:13" ht="18.5">
      <c r="A1" s="492" t="s">
        <v>0</v>
      </c>
      <c r="B1" s="493"/>
      <c r="C1" s="493"/>
      <c r="D1" s="493"/>
      <c r="E1" s="493"/>
      <c r="F1" s="493"/>
      <c r="G1" s="493"/>
      <c r="H1" s="493"/>
      <c r="I1" s="493"/>
    </row>
    <row r="5" spans="1:13" ht="27.5">
      <c r="E5" s="494" t="s">
        <v>0</v>
      </c>
      <c r="F5" s="495"/>
      <c r="G5" s="495"/>
      <c r="H5" s="495"/>
      <c r="I5" s="495"/>
      <c r="J5" s="495"/>
      <c r="K5" s="495"/>
      <c r="L5" s="495"/>
      <c r="M5" s="495"/>
    </row>
    <row r="7" spans="1:13" ht="27.5">
      <c r="A7" s="496" t="s">
        <v>30</v>
      </c>
      <c r="B7" s="497"/>
      <c r="C7" s="497"/>
      <c r="D7" s="497"/>
      <c r="E7" s="497"/>
      <c r="F7" s="497"/>
      <c r="G7" s="497"/>
      <c r="H7" s="497"/>
      <c r="I7" s="497"/>
    </row>
    <row r="8" spans="1:13" ht="27.5">
      <c r="A8" s="6"/>
      <c r="B8" s="7"/>
      <c r="C8" s="7"/>
      <c r="D8" s="7"/>
      <c r="E8" s="494" t="s">
        <v>0</v>
      </c>
      <c r="F8" s="495"/>
      <c r="G8" s="495"/>
      <c r="H8" s="495"/>
      <c r="I8" s="495"/>
      <c r="J8" s="495"/>
      <c r="K8" s="495"/>
      <c r="L8" s="495"/>
      <c r="M8" s="495"/>
    </row>
    <row r="9" spans="1:13" ht="27.5">
      <c r="A9" s="494" t="s">
        <v>479</v>
      </c>
      <c r="B9" s="495"/>
      <c r="C9" s="495"/>
      <c r="D9" s="495"/>
      <c r="E9" s="495"/>
      <c r="F9" s="495"/>
      <c r="G9" s="495"/>
      <c r="H9" s="495"/>
      <c r="I9" s="495"/>
    </row>
    <row r="15" spans="1:13">
      <c r="A15" s="489" t="s">
        <v>0</v>
      </c>
      <c r="B15" s="490"/>
      <c r="C15" s="490"/>
      <c r="D15" s="490"/>
      <c r="E15" s="490"/>
      <c r="F15" s="490"/>
      <c r="G15" s="490"/>
      <c r="H15" s="490"/>
      <c r="I15" s="490"/>
    </row>
    <row r="16" spans="1:13" ht="33.5">
      <c r="A16" s="487" t="str">
        <f>+'S&amp;D'!A12</f>
        <v>Liquid Transportation Pipeline Carriers</v>
      </c>
      <c r="B16" s="488"/>
      <c r="C16" s="488"/>
      <c r="D16" s="488"/>
      <c r="E16" s="488"/>
      <c r="F16" s="488"/>
      <c r="G16" s="488"/>
      <c r="H16" s="488"/>
      <c r="I16" s="488"/>
    </row>
    <row r="17" spans="1:9">
      <c r="A17" s="489" t="s">
        <v>0</v>
      </c>
      <c r="B17" s="490"/>
      <c r="C17" s="490"/>
      <c r="D17" s="490"/>
      <c r="E17" s="490"/>
      <c r="F17" s="490"/>
      <c r="G17" s="490"/>
      <c r="H17" s="490"/>
      <c r="I17" s="490"/>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89" t="s">
        <v>0</v>
      </c>
      <c r="B29" s="490"/>
      <c r="C29" s="490"/>
      <c r="D29" s="490"/>
      <c r="E29" s="490"/>
      <c r="F29" s="490"/>
      <c r="G29" s="490"/>
      <c r="H29" s="490"/>
      <c r="I29" s="490"/>
    </row>
    <row r="34" spans="1:9">
      <c r="A34" s="491"/>
      <c r="B34" s="491"/>
      <c r="C34" s="491"/>
      <c r="D34" s="491"/>
      <c r="E34" s="491"/>
      <c r="F34" s="491"/>
      <c r="G34" s="491"/>
      <c r="H34" s="491"/>
      <c r="I34" s="491"/>
    </row>
    <row r="35" spans="1:9">
      <c r="A35" s="491"/>
      <c r="B35" s="491"/>
      <c r="C35" s="491"/>
      <c r="D35" s="491"/>
      <c r="E35" s="491"/>
      <c r="F35" s="491"/>
      <c r="G35" s="491"/>
      <c r="H35" s="491"/>
      <c r="I35" s="491"/>
    </row>
    <row r="36" spans="1:9">
      <c r="A36" s="491"/>
      <c r="B36" s="491"/>
      <c r="C36" s="491"/>
      <c r="D36" s="491"/>
      <c r="E36" s="491"/>
      <c r="F36" s="491"/>
      <c r="G36" s="491"/>
      <c r="H36" s="491"/>
      <c r="I36" s="491"/>
    </row>
    <row r="37" spans="1:9">
      <c r="A37" s="491"/>
      <c r="B37" s="491"/>
      <c r="C37" s="491"/>
      <c r="D37" s="491"/>
      <c r="E37" s="491"/>
      <c r="F37" s="491"/>
      <c r="G37" s="491"/>
      <c r="H37" s="491"/>
      <c r="I37" s="491"/>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L34"/>
  <sheetViews>
    <sheetView view="pageBreakPreview" topLeftCell="A2" zoomScale="70" zoomScaleNormal="80" zoomScaleSheetLayoutView="70" workbookViewId="0">
      <selection activeCell="J32" sqref="J32"/>
    </sheetView>
  </sheetViews>
  <sheetFormatPr defaultRowHeight="14.5"/>
  <cols>
    <col min="1" max="1" width="48.26953125" customWidth="1"/>
    <col min="2" max="2" width="10.81640625" bestFit="1" customWidth="1"/>
    <col min="3" max="3" width="23" customWidth="1"/>
    <col min="4" max="4" width="21.7265625" customWidth="1"/>
    <col min="5" max="5" width="24.1796875" customWidth="1"/>
    <col min="6" max="6" width="22.26953125" customWidth="1"/>
    <col min="7" max="7" width="23.81640625" customWidth="1"/>
    <col min="8" max="8" width="22.7265625" customWidth="1"/>
    <col min="9" max="9" width="15" customWidth="1"/>
    <col min="10" max="10" width="14.1796875" bestFit="1" customWidth="1"/>
    <col min="12" max="12" width="14.81640625" bestFit="1" customWidth="1"/>
  </cols>
  <sheetData>
    <row r="1" spans="1:11" ht="25.5">
      <c r="A1" s="23" t="s">
        <v>1</v>
      </c>
      <c r="B1" s="12"/>
      <c r="C1" s="12"/>
      <c r="D1" s="12"/>
      <c r="E1" s="12"/>
      <c r="F1" s="12"/>
      <c r="G1" s="12"/>
      <c r="H1" s="12"/>
      <c r="I1" s="12"/>
      <c r="J1" s="12"/>
      <c r="K1" s="12"/>
    </row>
    <row r="2" spans="1:11" ht="17.5">
      <c r="A2" s="24" t="s">
        <v>9</v>
      </c>
      <c r="B2" s="12"/>
      <c r="C2" s="12"/>
      <c r="D2" s="12"/>
      <c r="E2" s="12"/>
      <c r="F2" s="12"/>
      <c r="G2" s="12"/>
      <c r="H2" s="12"/>
      <c r="I2" s="12"/>
      <c r="J2" s="12"/>
      <c r="K2" s="12"/>
    </row>
    <row r="3" spans="1:11" ht="17">
      <c r="A3" s="25" t="s">
        <v>480</v>
      </c>
      <c r="B3" s="12"/>
      <c r="C3" s="12"/>
      <c r="D3" s="12"/>
      <c r="E3" s="12"/>
      <c r="F3" s="12"/>
      <c r="G3" s="12"/>
      <c r="H3" s="12"/>
      <c r="I3" s="12"/>
      <c r="J3" s="12"/>
      <c r="K3" s="12"/>
    </row>
    <row r="4" spans="1:11" ht="17">
      <c r="A4" s="25"/>
      <c r="B4" s="12"/>
      <c r="C4" s="12"/>
      <c r="D4" s="12"/>
      <c r="E4" s="12"/>
      <c r="F4" s="12"/>
      <c r="G4" s="12"/>
      <c r="H4" s="12"/>
      <c r="I4" s="12"/>
      <c r="J4" s="12"/>
      <c r="K4" s="12"/>
    </row>
    <row r="5" spans="1:11" ht="17.5" thickBot="1">
      <c r="A5" s="12"/>
      <c r="B5" s="12"/>
      <c r="C5" s="12"/>
      <c r="D5" s="12"/>
      <c r="E5" s="12"/>
      <c r="F5" s="26" t="s">
        <v>0</v>
      </c>
      <c r="G5" s="26"/>
      <c r="H5" s="12"/>
      <c r="I5" s="12"/>
      <c r="J5" s="12"/>
      <c r="K5" s="12"/>
    </row>
    <row r="6" spans="1:11" ht="21.5" thickBot="1">
      <c r="A6" s="282" t="str">
        <f>+'S&amp;D'!A12</f>
        <v>Liquid Transportation Pipeline Carriers</v>
      </c>
      <c r="B6" s="208"/>
      <c r="C6" s="12"/>
      <c r="D6" s="28"/>
      <c r="E6" s="28"/>
      <c r="F6" s="28"/>
      <c r="G6" s="12"/>
      <c r="H6" s="12"/>
      <c r="I6" s="12"/>
      <c r="J6" s="12"/>
      <c r="K6" s="12"/>
    </row>
    <row r="7" spans="1:11" ht="25.5">
      <c r="A7" s="30"/>
      <c r="B7" s="12"/>
      <c r="C7" s="12"/>
      <c r="D7" s="12"/>
      <c r="E7" s="31" t="s">
        <v>193</v>
      </c>
      <c r="F7" s="12"/>
      <c r="G7" s="12"/>
      <c r="H7" s="12"/>
      <c r="I7" s="12"/>
      <c r="J7" s="12"/>
      <c r="K7" s="12"/>
    </row>
    <row r="8" spans="1:11" ht="17.5" thickBot="1">
      <c r="A8" s="40" t="s">
        <v>0</v>
      </c>
      <c r="B8" s="40" t="s">
        <v>0</v>
      </c>
      <c r="C8" s="40" t="s">
        <v>0</v>
      </c>
      <c r="D8" s="33" t="s">
        <v>0</v>
      </c>
      <c r="E8" s="32" t="s">
        <v>481</v>
      </c>
      <c r="F8" s="33" t="s">
        <v>0</v>
      </c>
      <c r="G8" s="40"/>
      <c r="H8" s="40" t="s">
        <v>0</v>
      </c>
      <c r="I8" s="40" t="s">
        <v>0</v>
      </c>
      <c r="J8" s="12"/>
      <c r="K8" s="12"/>
    </row>
    <row r="9" spans="1:11" ht="17">
      <c r="A9" s="40"/>
      <c r="B9" s="40"/>
      <c r="H9" s="40"/>
      <c r="I9" s="40"/>
      <c r="J9" s="12"/>
      <c r="K9" s="12"/>
    </row>
    <row r="10" spans="1:11" ht="17">
      <c r="A10" s="40"/>
      <c r="B10" s="40"/>
      <c r="E10" s="13" t="s">
        <v>0</v>
      </c>
      <c r="H10" s="40"/>
      <c r="I10" s="40"/>
      <c r="J10" s="12"/>
      <c r="K10" s="12"/>
    </row>
    <row r="11" spans="1:11" ht="17">
      <c r="A11" s="40"/>
      <c r="B11" s="40"/>
      <c r="H11" s="40"/>
      <c r="I11" s="40"/>
      <c r="J11" s="12"/>
      <c r="K11" s="12"/>
    </row>
    <row r="12" spans="1:11" ht="17.5" thickBot="1">
      <c r="A12" s="33"/>
      <c r="B12" s="33"/>
      <c r="C12" s="159"/>
      <c r="D12" s="159"/>
      <c r="E12" s="159"/>
      <c r="F12" s="159"/>
      <c r="G12" s="159"/>
      <c r="H12" s="33"/>
      <c r="I12" s="33"/>
      <c r="J12" s="28"/>
      <c r="K12" s="12"/>
    </row>
    <row r="13" spans="1:11" ht="11.25" customHeight="1" thickBot="1">
      <c r="A13" s="33" t="s">
        <v>24</v>
      </c>
      <c r="B13" s="33" t="s">
        <v>90</v>
      </c>
      <c r="C13" s="33" t="s">
        <v>91</v>
      </c>
      <c r="D13" s="41" t="s">
        <v>92</v>
      </c>
      <c r="E13" s="33" t="s">
        <v>93</v>
      </c>
      <c r="F13" s="33" t="s">
        <v>94</v>
      </c>
      <c r="G13" s="33" t="s">
        <v>95</v>
      </c>
      <c r="H13" s="33" t="s">
        <v>96</v>
      </c>
      <c r="I13" s="33" t="s">
        <v>97</v>
      </c>
      <c r="J13" s="33" t="s">
        <v>98</v>
      </c>
      <c r="K13" s="12"/>
    </row>
    <row r="14" spans="1:11" ht="17">
      <c r="A14" s="34" t="s">
        <v>0</v>
      </c>
      <c r="B14" s="34" t="s">
        <v>3</v>
      </c>
      <c r="C14" s="34" t="s">
        <v>85</v>
      </c>
      <c r="D14" s="34" t="s">
        <v>118</v>
      </c>
      <c r="E14" s="34" t="s">
        <v>119</v>
      </c>
      <c r="F14" s="34" t="s">
        <v>118</v>
      </c>
      <c r="G14" s="34" t="s">
        <v>119</v>
      </c>
      <c r="H14" s="34" t="s">
        <v>19</v>
      </c>
      <c r="I14" s="34" t="s">
        <v>120</v>
      </c>
      <c r="J14" s="34" t="s">
        <v>132</v>
      </c>
      <c r="K14" s="12"/>
    </row>
    <row r="15" spans="1:11" ht="17.5" thickBot="1">
      <c r="A15" s="36" t="s">
        <v>2</v>
      </c>
      <c r="B15" s="36" t="s">
        <v>4</v>
      </c>
      <c r="C15" s="36" t="s">
        <v>117</v>
      </c>
      <c r="D15" s="36" t="s">
        <v>84</v>
      </c>
      <c r="E15" s="36" t="s">
        <v>84</v>
      </c>
      <c r="F15" s="36" t="s">
        <v>85</v>
      </c>
      <c r="G15" s="36" t="s">
        <v>85</v>
      </c>
      <c r="H15" s="36" t="s">
        <v>118</v>
      </c>
      <c r="I15" s="36" t="s">
        <v>121</v>
      </c>
      <c r="J15" s="36" t="s">
        <v>131</v>
      </c>
      <c r="K15" s="12"/>
    </row>
    <row r="16" spans="1:11" ht="17">
      <c r="A16" s="42" t="s">
        <v>7</v>
      </c>
      <c r="B16" s="42" t="s">
        <v>7</v>
      </c>
      <c r="C16" s="42" t="s">
        <v>134</v>
      </c>
      <c r="D16" s="42" t="s">
        <v>134</v>
      </c>
      <c r="E16" s="42" t="s">
        <v>134</v>
      </c>
      <c r="F16" s="42" t="s">
        <v>134</v>
      </c>
      <c r="G16" s="42" t="s">
        <v>134</v>
      </c>
      <c r="H16" s="42" t="s">
        <v>123</v>
      </c>
      <c r="I16" s="42" t="s">
        <v>122</v>
      </c>
      <c r="J16" s="42" t="s">
        <v>100</v>
      </c>
      <c r="K16" s="12"/>
    </row>
    <row r="17" spans="1:12" ht="17">
      <c r="A17" s="34"/>
      <c r="B17" s="34"/>
      <c r="C17" s="34"/>
      <c r="D17" s="34"/>
      <c r="E17" s="34"/>
      <c r="F17" s="34"/>
      <c r="G17" s="34"/>
      <c r="H17" s="34"/>
      <c r="I17" s="34"/>
      <c r="J17" s="34"/>
      <c r="K17" s="12"/>
    </row>
    <row r="18" spans="1:12" ht="17">
      <c r="A18" s="12"/>
      <c r="B18" s="12"/>
      <c r="C18" s="12"/>
      <c r="D18" s="12"/>
      <c r="E18" s="12"/>
      <c r="F18" s="12"/>
      <c r="G18" s="12"/>
      <c r="H18" s="12"/>
      <c r="I18" s="12"/>
      <c r="J18" s="12"/>
      <c r="K18" s="12"/>
    </row>
    <row r="19" spans="1:12" ht="17.5">
      <c r="A19" s="62" t="str">
        <f>+'S&amp;D'!A22</f>
        <v>Energy Transfer LP</v>
      </c>
      <c r="B19" s="91" t="str">
        <f>+'S&amp;D'!B22</f>
        <v>ET</v>
      </c>
      <c r="C19" s="338">
        <v>2578000000</v>
      </c>
      <c r="D19" s="321">
        <v>45421882304</v>
      </c>
      <c r="E19" s="142">
        <f>48260000000+2000000</f>
        <v>48262000000</v>
      </c>
      <c r="F19" s="142">
        <f>+'S&amp;D'!G38</f>
        <v>51928017560.603172</v>
      </c>
      <c r="G19" s="142">
        <f>+'S&amp;D'!J22</f>
        <v>52388000000</v>
      </c>
      <c r="H19" s="196">
        <f t="shared" ref="H19:H21" si="0">(D19+F19)/2</f>
        <v>48674949932.30159</v>
      </c>
      <c r="I19" s="65">
        <f t="shared" ref="I19:I21" si="1">C19/H19</f>
        <v>5.2963588120492178E-2</v>
      </c>
      <c r="J19" s="45">
        <f t="shared" ref="J19:J21" si="2">F19/G19</f>
        <v>0.99121969841572821</v>
      </c>
      <c r="K19" s="12"/>
    </row>
    <row r="20" spans="1:12" ht="17.5">
      <c r="A20" s="62" t="str">
        <f>+'S&amp;D'!A23</f>
        <v>Enterprise Products Partnership LP</v>
      </c>
      <c r="B20" s="91" t="str">
        <f>+'S&amp;D'!B23</f>
        <v>EPD</v>
      </c>
      <c r="C20" s="338">
        <v>1269000000</v>
      </c>
      <c r="D20" s="321">
        <v>25138080000</v>
      </c>
      <c r="E20" s="142">
        <f>1744000000+26551000000</f>
        <v>28295000000</v>
      </c>
      <c r="F20" s="142">
        <f>+'S&amp;D'!G39</f>
        <v>26700000000</v>
      </c>
      <c r="G20" s="142">
        <f>+'S&amp;D'!J23</f>
        <v>28748000000</v>
      </c>
      <c r="H20" s="196">
        <f t="shared" si="0"/>
        <v>25919040000</v>
      </c>
      <c r="I20" s="65">
        <f t="shared" si="1"/>
        <v>4.896014667209897E-2</v>
      </c>
      <c r="J20" s="45">
        <f t="shared" si="2"/>
        <v>0.92876026158341451</v>
      </c>
      <c r="K20" s="12"/>
      <c r="L20" t="s">
        <v>0</v>
      </c>
    </row>
    <row r="21" spans="1:12" ht="17.5">
      <c r="A21" s="62" t="str">
        <f>+'S&amp;D'!A24</f>
        <v>Hess Midstream LP</v>
      </c>
      <c r="B21" s="91" t="str">
        <f>+'S&amp;D'!B24</f>
        <v>HESM</v>
      </c>
      <c r="C21" s="338">
        <v>179000000</v>
      </c>
      <c r="D21" s="321">
        <v>2720700000</v>
      </c>
      <c r="E21" s="142">
        <v>2563500000</v>
      </c>
      <c r="F21" s="142">
        <f>+'S&amp;D'!G40</f>
        <v>3143300000</v>
      </c>
      <c r="G21" s="142">
        <f>+'S&amp;D'!J24</f>
        <v>3211400000</v>
      </c>
      <c r="H21" s="196">
        <f t="shared" si="0"/>
        <v>2932000000</v>
      </c>
      <c r="I21" s="65">
        <f t="shared" si="1"/>
        <v>6.1050477489768079E-2</v>
      </c>
      <c r="J21" s="45">
        <f t="shared" si="2"/>
        <v>0.97879429532291218</v>
      </c>
      <c r="K21" s="12"/>
    </row>
    <row r="22" spans="1:12" ht="17.5">
      <c r="A22" s="62" t="str">
        <f>+'S&amp;D'!A25</f>
        <v>MPLX, LP</v>
      </c>
      <c r="B22" s="91" t="str">
        <f>+'S&amp;D'!B25</f>
        <v>MPLX</v>
      </c>
      <c r="C22" s="338">
        <v>897000000</v>
      </c>
      <c r="D22" s="321">
        <v>17995911580</v>
      </c>
      <c r="E22" s="142">
        <v>18571000000</v>
      </c>
      <c r="F22" s="142">
        <f>+'S&amp;D'!G41</f>
        <v>19377000000</v>
      </c>
      <c r="G22" s="142">
        <f>+'S&amp;D'!J25</f>
        <v>20431000000</v>
      </c>
      <c r="H22" s="196">
        <f t="shared" ref="H22:H25" si="3">(D22+F22)/2</f>
        <v>18686455790</v>
      </c>
      <c r="I22" s="65">
        <f t="shared" ref="I22:I25" si="4">C22/H22</f>
        <v>4.8002682267871619E-2</v>
      </c>
      <c r="J22" s="45">
        <f t="shared" ref="J22:J25" si="5">F22/G22</f>
        <v>0.94841172727717682</v>
      </c>
      <c r="K22" s="12"/>
    </row>
    <row r="23" spans="1:12" ht="17.5">
      <c r="A23" s="62" t="str">
        <f>+'S&amp;D'!A26</f>
        <v>NuStar Energy LP</v>
      </c>
      <c r="B23" s="91" t="str">
        <f>+'S&amp;D'!B26</f>
        <v>NS</v>
      </c>
      <c r="C23" s="338">
        <v>241364000</v>
      </c>
      <c r="D23" s="321">
        <v>3223961898</v>
      </c>
      <c r="E23" s="142">
        <v>3187403000</v>
      </c>
      <c r="F23" s="142">
        <f>+'S&amp;D'!G42</f>
        <v>3426307000</v>
      </c>
      <c r="G23" s="142">
        <f>+'S&amp;D'!J26</f>
        <v>3420240000</v>
      </c>
      <c r="H23" s="196">
        <f t="shared" si="3"/>
        <v>3325134449</v>
      </c>
      <c r="I23" s="65">
        <f t="shared" si="4"/>
        <v>7.2587741549093671E-2</v>
      </c>
      <c r="J23" s="45">
        <f t="shared" si="5"/>
        <v>1.0017738521273361</v>
      </c>
      <c r="K23" s="12"/>
    </row>
    <row r="24" spans="1:12" ht="17.5">
      <c r="A24" s="62" t="str">
        <f>+'S&amp;D'!A27</f>
        <v>Plains All American Pipeline LP</v>
      </c>
      <c r="B24" s="91" t="str">
        <f>+'S&amp;D'!B27</f>
        <v>PAA</v>
      </c>
      <c r="C24" s="338">
        <v>386000000</v>
      </c>
      <c r="D24" s="321">
        <v>8619666667</v>
      </c>
      <c r="E24" s="142">
        <v>10050000000</v>
      </c>
      <c r="F24" s="142">
        <f>+'S&amp;D'!G43</f>
        <v>7163712328.7671242</v>
      </c>
      <c r="G24" s="142">
        <f>+'S&amp;D'!J27</f>
        <v>7579000000</v>
      </c>
      <c r="H24" s="196">
        <f t="shared" si="3"/>
        <v>7891689497.8835621</v>
      </c>
      <c r="I24" s="65">
        <f t="shared" si="4"/>
        <v>4.8912213297738039E-2</v>
      </c>
      <c r="J24" s="45">
        <f t="shared" si="5"/>
        <v>0.94520547945205491</v>
      </c>
      <c r="K24" s="12"/>
      <c r="L24" t="s">
        <v>0</v>
      </c>
    </row>
    <row r="25" spans="1:12" ht="17.5">
      <c r="A25" s="62" t="str">
        <f>+'S&amp;D'!A28</f>
        <v>Western Midstream Partners LP</v>
      </c>
      <c r="B25" s="91" t="str">
        <f>+'S&amp;D'!B28</f>
        <v>WES</v>
      </c>
      <c r="C25" s="338">
        <v>348228000</v>
      </c>
      <c r="D25" s="321">
        <v>5897794000</v>
      </c>
      <c r="E25" s="142">
        <v>6906548000</v>
      </c>
      <c r="F25" s="142">
        <f>+'S&amp;D'!G44</f>
        <v>7011688000</v>
      </c>
      <c r="G25" s="142">
        <f>+'S&amp;D'!J28</f>
        <v>7283556000</v>
      </c>
      <c r="H25" s="196">
        <f t="shared" si="3"/>
        <v>6454741000</v>
      </c>
      <c r="I25" s="65">
        <f t="shared" si="4"/>
        <v>5.3949182469133931E-2</v>
      </c>
      <c r="J25" s="45">
        <f t="shared" si="5"/>
        <v>0.96267372695425146</v>
      </c>
      <c r="K25" s="12"/>
    </row>
    <row r="26" spans="1:12" ht="17.5" thickBot="1">
      <c r="A26" s="12"/>
      <c r="B26" s="12"/>
      <c r="C26" s="46"/>
      <c r="D26" s="46"/>
      <c r="E26" s="46"/>
      <c r="F26" s="46"/>
      <c r="G26" s="46" t="s">
        <v>44</v>
      </c>
      <c r="H26" s="46"/>
      <c r="I26" s="46" t="s">
        <v>44</v>
      </c>
      <c r="J26" s="46"/>
      <c r="K26" s="12"/>
    </row>
    <row r="27" spans="1:12" ht="17.5" thickTop="1">
      <c r="A27" s="12"/>
      <c r="B27" s="12"/>
      <c r="C27" s="47" t="s">
        <v>0</v>
      </c>
      <c r="D27" s="47" t="s">
        <v>0</v>
      </c>
      <c r="E27" s="34" t="s">
        <v>0</v>
      </c>
      <c r="F27" s="34"/>
      <c r="G27" s="47" t="s">
        <v>0</v>
      </c>
      <c r="H27" s="14" t="s">
        <v>45</v>
      </c>
      <c r="I27" s="335">
        <f>MAX(I19:I25)</f>
        <v>7.2587741549093671E-2</v>
      </c>
      <c r="J27" s="337">
        <f>MAX(J19:J25)</f>
        <v>1.0017738521273361</v>
      </c>
      <c r="K27" s="12"/>
    </row>
    <row r="28" spans="1:12" ht="17">
      <c r="A28" s="197" t="s">
        <v>72</v>
      </c>
      <c r="B28" s="12"/>
      <c r="C28" s="47"/>
      <c r="D28" s="47" t="s">
        <v>0</v>
      </c>
      <c r="F28" s="34"/>
      <c r="G28" s="34" t="s">
        <v>0</v>
      </c>
      <c r="H28" s="373" t="s">
        <v>46</v>
      </c>
      <c r="I28" s="336">
        <f>MIN(I19:I25)</f>
        <v>4.8002682267871619E-2</v>
      </c>
      <c r="J28" s="377">
        <f>MIN(J19:J25)</f>
        <v>0.92876026158341451</v>
      </c>
      <c r="K28" s="12"/>
    </row>
    <row r="29" spans="1:12" ht="17">
      <c r="A29" s="198" t="s">
        <v>271</v>
      </c>
      <c r="B29" s="12"/>
      <c r="C29" s="12"/>
      <c r="D29" s="12"/>
      <c r="E29" s="12"/>
      <c r="F29" s="12"/>
      <c r="G29" s="12"/>
      <c r="H29" s="14" t="s">
        <v>18</v>
      </c>
      <c r="I29" s="55">
        <f>MEDIAN(I19:I25)</f>
        <v>5.2963588120492178E-2</v>
      </c>
      <c r="J29" s="48">
        <f>MEDIAN(J19:J25)</f>
        <v>0.96267372695425146</v>
      </c>
      <c r="K29" s="12"/>
    </row>
    <row r="30" spans="1:12" ht="17">
      <c r="A30" s="198" t="s">
        <v>237</v>
      </c>
      <c r="B30" s="12"/>
      <c r="C30" s="12"/>
      <c r="D30" s="12"/>
      <c r="E30" s="12"/>
      <c r="F30" s="12"/>
      <c r="G30" s="12"/>
      <c r="H30" s="14" t="s">
        <v>440</v>
      </c>
      <c r="I30" s="55">
        <f>AVERAGE(I19:I25)</f>
        <v>5.5203718838028062E-2</v>
      </c>
      <c r="J30" s="48">
        <f>AVERAGE(J19:J25)</f>
        <v>0.96526272016183901</v>
      </c>
      <c r="K30" s="12"/>
    </row>
    <row r="31" spans="1:12" ht="17.5" thickBot="1">
      <c r="A31" s="12"/>
      <c r="B31" s="12"/>
      <c r="C31" s="12"/>
      <c r="D31" s="12"/>
      <c r="E31" s="12"/>
      <c r="F31" s="12"/>
      <c r="G31" s="12"/>
      <c r="H31" s="12"/>
      <c r="I31" s="12"/>
      <c r="J31" s="13"/>
      <c r="K31" s="12"/>
    </row>
    <row r="32" spans="1:12" ht="26" thickBot="1">
      <c r="A32" s="12"/>
      <c r="B32" s="12"/>
      <c r="C32" s="12"/>
      <c r="D32" s="12"/>
      <c r="E32" s="12"/>
      <c r="F32" s="12"/>
      <c r="G32" s="201"/>
      <c r="H32" s="202" t="s">
        <v>244</v>
      </c>
      <c r="I32" s="203">
        <v>5.5199999999999999E-2</v>
      </c>
      <c r="J32" s="439">
        <v>9.6530000000000001E-3</v>
      </c>
      <c r="K32" s="12"/>
    </row>
    <row r="33" spans="1:11" ht="17">
      <c r="A33" s="12"/>
      <c r="B33" s="12"/>
      <c r="C33" s="12"/>
      <c r="D33" s="12"/>
      <c r="E33" s="12"/>
      <c r="F33" s="12"/>
      <c r="G33" s="12"/>
      <c r="H33" s="12"/>
      <c r="I33" s="12"/>
      <c r="J33" s="12"/>
      <c r="K33" s="12"/>
    </row>
    <row r="34" spans="1:11" ht="17">
      <c r="A34" s="12"/>
      <c r="B34" s="12"/>
      <c r="C34" s="12"/>
      <c r="D34" s="12"/>
      <c r="E34" s="12"/>
      <c r="F34" s="12"/>
      <c r="G34" s="12"/>
      <c r="H34" s="12"/>
      <c r="I34" s="12"/>
      <c r="J34" s="12"/>
      <c r="K34" s="12"/>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58"/>
  <sheetViews>
    <sheetView tabSelected="1" view="pageBreakPreview" topLeftCell="A5" zoomScale="60" zoomScaleNormal="80" workbookViewId="0">
      <selection activeCell="L16" sqref="L16"/>
    </sheetView>
  </sheetViews>
  <sheetFormatPr defaultRowHeight="14.5"/>
  <cols>
    <col min="1" max="1" width="42.81640625" customWidth="1"/>
    <col min="2" max="2" width="13.453125" customWidth="1"/>
    <col min="3" max="3" width="19.1796875" bestFit="1" customWidth="1"/>
    <col min="4" max="4" width="21.1796875" customWidth="1"/>
    <col min="5" max="5" width="21.81640625" customWidth="1"/>
    <col min="6" max="6" width="16.1796875" customWidth="1"/>
    <col min="7" max="7" width="12.1796875" customWidth="1"/>
    <col min="8" max="8" width="18.54296875" customWidth="1"/>
    <col min="9" max="9" width="19.26953125" customWidth="1"/>
    <col min="10" max="11" width="20.54296875" customWidth="1"/>
    <col min="12" max="12" width="26.54296875" customWidth="1"/>
    <col min="13" max="13" width="13.7265625" customWidth="1"/>
  </cols>
  <sheetData>
    <row r="1" spans="1:13" ht="25.5">
      <c r="A1" s="23" t="s">
        <v>1</v>
      </c>
      <c r="B1" s="12"/>
      <c r="C1" s="12"/>
      <c r="D1" s="12"/>
      <c r="E1" s="12"/>
      <c r="F1" s="12"/>
      <c r="G1" s="12"/>
      <c r="H1" s="12"/>
      <c r="I1" s="12"/>
      <c r="J1" s="12"/>
      <c r="K1" s="12"/>
      <c r="L1" s="12"/>
      <c r="M1" s="12"/>
    </row>
    <row r="2" spans="1:13" ht="17.5">
      <c r="A2" s="24" t="s">
        <v>9</v>
      </c>
      <c r="B2" s="12"/>
      <c r="C2" s="12"/>
      <c r="D2" s="12"/>
      <c r="E2" s="12"/>
      <c r="F2" s="12"/>
      <c r="G2" s="12"/>
      <c r="H2" s="12"/>
      <c r="I2" s="12"/>
      <c r="J2" s="12"/>
      <c r="K2" s="12"/>
      <c r="L2" s="12"/>
      <c r="M2" s="12"/>
    </row>
    <row r="3" spans="1:13" ht="17">
      <c r="A3" s="25" t="s">
        <v>62</v>
      </c>
      <c r="B3" s="12"/>
      <c r="C3" s="12"/>
      <c r="D3" s="12"/>
      <c r="E3" s="12"/>
      <c r="F3" s="12"/>
      <c r="G3" s="12"/>
      <c r="H3" s="12"/>
      <c r="I3" s="12"/>
      <c r="J3" s="12"/>
      <c r="K3" s="12"/>
      <c r="L3" s="12"/>
      <c r="M3" s="12"/>
    </row>
    <row r="4" spans="1:13" ht="17">
      <c r="A4" s="25"/>
      <c r="B4" s="12"/>
      <c r="C4" s="12"/>
      <c r="D4" s="12"/>
      <c r="E4" s="12"/>
      <c r="F4" s="12"/>
      <c r="G4" s="12"/>
      <c r="H4" s="12"/>
      <c r="I4" s="12"/>
      <c r="J4" s="12"/>
      <c r="K4" s="12"/>
      <c r="L4" s="12"/>
      <c r="M4" s="12"/>
    </row>
    <row r="5" spans="1:13" ht="17.5" thickBot="1">
      <c r="A5" s="12"/>
      <c r="B5" s="12"/>
      <c r="C5" s="12"/>
      <c r="D5" s="12"/>
      <c r="E5" s="12"/>
      <c r="F5" s="12"/>
      <c r="G5" s="26"/>
      <c r="H5" s="26"/>
      <c r="I5" s="12"/>
      <c r="J5" s="12"/>
      <c r="K5" s="12"/>
      <c r="L5" s="12"/>
      <c r="M5" s="12"/>
    </row>
    <row r="6" spans="1:13" ht="21.5" thickBot="1">
      <c r="A6" s="282" t="str">
        <f>+'S&amp;D'!A12</f>
        <v>Liquid Transportation Pipeline Carriers</v>
      </c>
      <c r="B6" s="208"/>
      <c r="C6" s="12"/>
      <c r="D6" s="28"/>
      <c r="E6" s="28"/>
      <c r="F6" s="29" t="s">
        <v>0</v>
      </c>
      <c r="G6" s="12"/>
      <c r="H6" s="12"/>
      <c r="I6" s="12"/>
      <c r="J6" s="12"/>
      <c r="K6" s="12"/>
      <c r="L6" s="12"/>
      <c r="M6" s="12"/>
    </row>
    <row r="7" spans="1:13" ht="25.5">
      <c r="A7" s="30"/>
      <c r="B7" s="12"/>
      <c r="C7" s="12"/>
      <c r="D7" s="12"/>
      <c r="E7" s="31" t="s">
        <v>130</v>
      </c>
      <c r="F7" s="12"/>
      <c r="G7" s="12"/>
      <c r="H7" s="12"/>
      <c r="I7" s="12"/>
      <c r="J7" s="12"/>
      <c r="K7" s="12"/>
      <c r="L7" s="12"/>
      <c r="M7" s="12"/>
    </row>
    <row r="8" spans="1:13" ht="21.5" thickBot="1">
      <c r="A8" s="30"/>
      <c r="B8" s="12"/>
      <c r="C8" s="12"/>
      <c r="D8" s="28"/>
      <c r="E8" s="32" t="s">
        <v>75</v>
      </c>
      <c r="F8" s="28"/>
      <c r="G8" s="12"/>
      <c r="H8" s="12"/>
      <c r="I8" s="12"/>
      <c r="J8" s="12"/>
      <c r="K8" s="12"/>
      <c r="L8" s="12"/>
      <c r="M8" s="12"/>
    </row>
    <row r="9" spans="1:13" ht="17.5" thickBot="1">
      <c r="A9" s="33" t="s">
        <v>0</v>
      </c>
      <c r="B9" s="33" t="s">
        <v>0</v>
      </c>
      <c r="C9" s="33" t="s">
        <v>0</v>
      </c>
      <c r="D9" s="33" t="s">
        <v>0</v>
      </c>
      <c r="E9" s="33" t="s">
        <v>0</v>
      </c>
      <c r="F9" s="33" t="s">
        <v>0</v>
      </c>
      <c r="G9" s="33"/>
      <c r="H9" s="33"/>
      <c r="I9" s="33" t="s">
        <v>0</v>
      </c>
      <c r="J9" s="28"/>
      <c r="L9" s="12"/>
      <c r="M9" s="12"/>
    </row>
    <row r="10" spans="1:13" ht="17">
      <c r="A10" s="34" t="s">
        <v>0</v>
      </c>
      <c r="B10" s="34" t="s">
        <v>3</v>
      </c>
      <c r="C10" s="34" t="s">
        <v>5</v>
      </c>
      <c r="D10" s="34" t="s">
        <v>21</v>
      </c>
      <c r="E10" s="34" t="s">
        <v>20</v>
      </c>
      <c r="F10" s="34" t="s">
        <v>50</v>
      </c>
      <c r="G10" s="34" t="s">
        <v>133</v>
      </c>
      <c r="H10" s="34" t="s">
        <v>47</v>
      </c>
      <c r="I10" s="34" t="s">
        <v>133</v>
      </c>
      <c r="J10" s="34" t="s">
        <v>47</v>
      </c>
      <c r="L10" s="12"/>
      <c r="M10" s="12"/>
    </row>
    <row r="11" spans="1:13" ht="17.5" thickBot="1">
      <c r="A11" s="36" t="s">
        <v>2</v>
      </c>
      <c r="B11" s="36" t="s">
        <v>4</v>
      </c>
      <c r="C11" s="36" t="s">
        <v>6</v>
      </c>
      <c r="D11" s="36" t="s">
        <v>23</v>
      </c>
      <c r="E11" s="36" t="s">
        <v>22</v>
      </c>
      <c r="F11" s="36" t="s">
        <v>48</v>
      </c>
      <c r="G11" s="36" t="s">
        <v>48</v>
      </c>
      <c r="H11" s="36" t="s">
        <v>48</v>
      </c>
      <c r="I11" s="36" t="s">
        <v>48</v>
      </c>
      <c r="J11" s="36" t="s">
        <v>49</v>
      </c>
      <c r="L11" s="12"/>
      <c r="M11" s="12"/>
    </row>
    <row r="12" spans="1:13" ht="17">
      <c r="A12" s="38" t="s">
        <v>7</v>
      </c>
      <c r="B12" s="38" t="s">
        <v>7</v>
      </c>
      <c r="C12" s="38" t="s">
        <v>7</v>
      </c>
      <c r="D12" s="38" t="s">
        <v>7</v>
      </c>
      <c r="E12" s="38" t="s">
        <v>7</v>
      </c>
      <c r="F12" s="38" t="s">
        <v>0</v>
      </c>
      <c r="G12" s="38" t="s">
        <v>0</v>
      </c>
      <c r="H12" s="38" t="s">
        <v>0</v>
      </c>
      <c r="I12" s="38" t="s">
        <v>0</v>
      </c>
      <c r="J12" s="38" t="s">
        <v>0</v>
      </c>
      <c r="L12" s="12"/>
      <c r="M12" s="12"/>
    </row>
    <row r="13" spans="1:13" ht="17">
      <c r="A13" s="34"/>
      <c r="B13" s="34"/>
      <c r="C13" s="34"/>
      <c r="D13" s="34"/>
      <c r="E13" s="34"/>
      <c r="F13" s="34"/>
      <c r="G13" s="34"/>
      <c r="H13" s="34"/>
      <c r="I13" s="34"/>
      <c r="J13" s="34"/>
      <c r="L13" s="12"/>
      <c r="M13" s="12"/>
    </row>
    <row r="14" spans="1:13" ht="17">
      <c r="A14" s="12"/>
      <c r="B14" s="12"/>
      <c r="C14" s="12"/>
      <c r="D14" s="12"/>
      <c r="E14" s="12"/>
      <c r="F14" s="12"/>
      <c r="G14" s="12"/>
      <c r="H14" s="12"/>
      <c r="I14" s="12"/>
      <c r="J14" s="12"/>
      <c r="L14" s="12"/>
      <c r="M14" s="12"/>
    </row>
    <row r="15" spans="1:13" ht="17.5">
      <c r="A15" s="62" t="str">
        <f>+'S&amp;D'!A22</f>
        <v>Energy Transfer LP</v>
      </c>
      <c r="B15" s="91" t="str">
        <f>+'S&amp;D'!B22</f>
        <v>ET</v>
      </c>
      <c r="C15" s="34" t="str">
        <f>+'S&amp;D'!C22</f>
        <v>Pipeline MLPs</v>
      </c>
      <c r="D15" s="53" t="str">
        <f>+'Beta for CAPM'!D18</f>
        <v>nmf</v>
      </c>
      <c r="E15" s="34" t="str">
        <f>+'Beta for CAPM'!G18</f>
        <v>B+</v>
      </c>
      <c r="F15" s="34" t="s">
        <v>333</v>
      </c>
      <c r="G15" s="309">
        <v>12</v>
      </c>
      <c r="H15" s="61" t="s">
        <v>527</v>
      </c>
      <c r="I15" s="309">
        <v>12</v>
      </c>
      <c r="J15" s="65">
        <v>5.6800000000000003E-2</v>
      </c>
      <c r="L15" s="12"/>
      <c r="M15" s="12"/>
    </row>
    <row r="16" spans="1:13" ht="17.5">
      <c r="A16" s="62" t="str">
        <f>+'S&amp;D'!A23</f>
        <v>Enterprise Products Partnership LP</v>
      </c>
      <c r="B16" s="91" t="str">
        <f>+'S&amp;D'!B23</f>
        <v>EPD</v>
      </c>
      <c r="C16" s="34" t="str">
        <f>+'S&amp;D'!C23</f>
        <v>Pipeline MLPs</v>
      </c>
      <c r="D16" s="53">
        <f>+'Beta for CAPM'!D19</f>
        <v>1.4999999999999999E-2</v>
      </c>
      <c r="E16" s="34" t="str">
        <f>+'Beta for CAPM'!G19</f>
        <v>B++</v>
      </c>
      <c r="F16" s="34" t="s">
        <v>331</v>
      </c>
      <c r="G16" s="309">
        <v>10</v>
      </c>
      <c r="H16" s="61" t="s">
        <v>528</v>
      </c>
      <c r="I16" s="309">
        <v>10</v>
      </c>
      <c r="J16" s="65">
        <v>5.6800000000000003E-2</v>
      </c>
      <c r="L16" s="12"/>
      <c r="M16" s="12"/>
    </row>
    <row r="17" spans="1:13" ht="17.5">
      <c r="A17" s="62" t="str">
        <f>+'S&amp;D'!A24</f>
        <v>Hess Midstream LP</v>
      </c>
      <c r="B17" s="91" t="str">
        <f>+'S&amp;D'!B24</f>
        <v>HESM</v>
      </c>
      <c r="C17" s="34" t="str">
        <f>+'S&amp;D'!C24</f>
        <v>Pipeline MLPs</v>
      </c>
      <c r="D17" s="53">
        <f>+'Beta for CAPM'!D20</f>
        <v>0.05</v>
      </c>
      <c r="E17" s="34" t="str">
        <f>+'Beta for CAPM'!G20</f>
        <v>B</v>
      </c>
      <c r="F17" s="277" t="s">
        <v>334</v>
      </c>
      <c r="G17" s="309">
        <v>13</v>
      </c>
      <c r="H17" s="61" t="s">
        <v>56</v>
      </c>
      <c r="I17" s="309">
        <v>13</v>
      </c>
      <c r="J17" s="65">
        <v>6.9000000000000006E-2</v>
      </c>
      <c r="L17" s="12"/>
      <c r="M17" s="12"/>
    </row>
    <row r="18" spans="1:13" ht="17.5">
      <c r="A18" s="62" t="str">
        <f>+'S&amp;D'!A25</f>
        <v>MPLX, LP</v>
      </c>
      <c r="B18" s="91" t="str">
        <f>+'S&amp;D'!B25</f>
        <v>MPLX</v>
      </c>
      <c r="C18" s="34" t="str">
        <f>+'S&amp;D'!C25</f>
        <v>Pipeline MLPs</v>
      </c>
      <c r="D18" s="53">
        <f>+'Beta for CAPM'!D21</f>
        <v>0.03</v>
      </c>
      <c r="E18" s="34" t="str">
        <f>+'Beta for CAPM'!G21</f>
        <v>B+</v>
      </c>
      <c r="F18" s="34" t="s">
        <v>332</v>
      </c>
      <c r="G18" s="309">
        <v>11</v>
      </c>
      <c r="H18" s="61" t="s">
        <v>53</v>
      </c>
      <c r="I18" s="309">
        <v>11</v>
      </c>
      <c r="J18" s="65">
        <v>5.6800000000000003E-2</v>
      </c>
      <c r="L18" s="12"/>
      <c r="M18" s="12"/>
    </row>
    <row r="19" spans="1:13" ht="17.5">
      <c r="A19" s="62" t="str">
        <f>+'S&amp;D'!A26</f>
        <v>NuStar Energy LP</v>
      </c>
      <c r="B19" s="91" t="str">
        <f>+'S&amp;D'!B26</f>
        <v>NS</v>
      </c>
      <c r="C19" s="34" t="str">
        <f>+'S&amp;D'!C26</f>
        <v>Pipeline MLPs</v>
      </c>
      <c r="D19" s="53">
        <f>+'Beta for CAPM'!D22</f>
        <v>2.5000000000000001E-2</v>
      </c>
      <c r="E19" s="34" t="str">
        <f>+'Beta for CAPM'!G22</f>
        <v>B</v>
      </c>
      <c r="F19" s="34" t="s">
        <v>336</v>
      </c>
      <c r="G19" s="309">
        <v>15</v>
      </c>
      <c r="H19" s="61" t="s">
        <v>141</v>
      </c>
      <c r="I19" s="309">
        <v>15</v>
      </c>
      <c r="J19" s="65">
        <v>6.9000000000000006E-2</v>
      </c>
      <c r="L19" s="12"/>
      <c r="M19" s="12"/>
    </row>
    <row r="20" spans="1:13" ht="17.5">
      <c r="A20" s="62" t="str">
        <f>+'S&amp;D'!A27</f>
        <v>Plains All American Pipeline LP</v>
      </c>
      <c r="B20" s="91" t="str">
        <f>+'S&amp;D'!B27</f>
        <v>PAA</v>
      </c>
      <c r="C20" s="34" t="str">
        <f>+'S&amp;D'!C27</f>
        <v>Pipeline MLPs</v>
      </c>
      <c r="D20" s="53">
        <f>+'Beta for CAPM'!D23</f>
        <v>0.08</v>
      </c>
      <c r="E20" s="34" t="str">
        <f>+'Beta for CAPM'!G23</f>
        <v>B</v>
      </c>
      <c r="F20" s="34" t="s">
        <v>333</v>
      </c>
      <c r="G20" s="309">
        <v>12</v>
      </c>
      <c r="H20" s="61" t="s">
        <v>58</v>
      </c>
      <c r="I20" s="309">
        <v>12</v>
      </c>
      <c r="J20" s="65">
        <v>5.6800000000000003E-2</v>
      </c>
      <c r="L20" s="12"/>
      <c r="M20" s="12"/>
    </row>
    <row r="21" spans="1:13" ht="17.5">
      <c r="A21" s="62" t="str">
        <f>+'S&amp;D'!A28</f>
        <v>Western Midstream Partners LP</v>
      </c>
      <c r="B21" s="91" t="str">
        <f>+'S&amp;D'!B28</f>
        <v>WES</v>
      </c>
      <c r="C21" s="34" t="str">
        <f>+'S&amp;D'!C28</f>
        <v>Pipeline MLPs</v>
      </c>
      <c r="D21" s="53">
        <f>+'Beta for CAPM'!D24</f>
        <v>0.01</v>
      </c>
      <c r="E21" s="34" t="str">
        <f>+'Beta for CAPM'!G24</f>
        <v>C++</v>
      </c>
      <c r="F21" s="34" t="s">
        <v>333</v>
      </c>
      <c r="G21" s="309">
        <v>12</v>
      </c>
      <c r="H21" s="61" t="s">
        <v>53</v>
      </c>
      <c r="I21" s="309">
        <v>11</v>
      </c>
      <c r="J21" s="65">
        <v>5.6800000000000003E-2</v>
      </c>
      <c r="L21" s="12"/>
      <c r="M21" s="12"/>
    </row>
    <row r="22" spans="1:13" ht="17.5" thickBot="1">
      <c r="A22" s="12"/>
      <c r="B22" s="12"/>
      <c r="C22" s="43"/>
      <c r="D22" s="46"/>
      <c r="E22" s="46"/>
      <c r="F22" s="46"/>
      <c r="G22" s="46"/>
      <c r="H22" s="46" t="s">
        <v>44</v>
      </c>
      <c r="I22" s="46"/>
      <c r="J22" s="46"/>
      <c r="L22" s="12"/>
      <c r="M22" s="12"/>
    </row>
    <row r="23" spans="1:13" ht="17.5" thickTop="1">
      <c r="A23" s="12"/>
      <c r="B23" s="12"/>
      <c r="E23" s="14" t="s">
        <v>45</v>
      </c>
      <c r="G23" s="310">
        <f>MAX(G15:G21)</f>
        <v>15</v>
      </c>
      <c r="H23" s="335"/>
      <c r="I23" s="364">
        <f t="shared" ref="I23:J23" si="0">MAX(I15:I21)</f>
        <v>15</v>
      </c>
      <c r="J23" s="335">
        <f t="shared" si="0"/>
        <v>6.9000000000000006E-2</v>
      </c>
      <c r="L23" s="12"/>
      <c r="M23" s="12"/>
    </row>
    <row r="24" spans="1:13" ht="17">
      <c r="A24" s="12"/>
      <c r="B24" s="12"/>
      <c r="E24" s="373" t="s">
        <v>46</v>
      </c>
      <c r="F24" s="262"/>
      <c r="G24" s="311">
        <f>MIN(G15:G21)</f>
        <v>10</v>
      </c>
      <c r="H24" s="336"/>
      <c r="I24" s="365">
        <f t="shared" ref="I24:J24" si="1">MIN(I15:I21)</f>
        <v>10</v>
      </c>
      <c r="J24" s="336">
        <f t="shared" si="1"/>
        <v>5.6800000000000003E-2</v>
      </c>
      <c r="L24" s="12"/>
      <c r="M24" s="12"/>
    </row>
    <row r="25" spans="1:13" ht="17">
      <c r="A25" s="12"/>
      <c r="B25" s="12"/>
      <c r="E25" s="14" t="s">
        <v>18</v>
      </c>
      <c r="G25" s="232">
        <f>MEDIAN(G15:G21)</f>
        <v>12</v>
      </c>
      <c r="H25" s="55" t="s">
        <v>0</v>
      </c>
      <c r="I25" s="233">
        <f>MEDIAN(I15:I21)</f>
        <v>12</v>
      </c>
      <c r="J25" s="55">
        <f>MEDIAN(J15:J21)</f>
        <v>5.6800000000000003E-2</v>
      </c>
      <c r="L25" s="12"/>
      <c r="M25" s="12"/>
    </row>
    <row r="26" spans="1:13" ht="17">
      <c r="A26" s="12"/>
      <c r="B26" s="12"/>
      <c r="D26" s="14" t="s">
        <v>0</v>
      </c>
      <c r="E26" s="14" t="s">
        <v>440</v>
      </c>
      <c r="G26" s="233">
        <f>AVERAGE(G15:G21)</f>
        <v>12.142857142857142</v>
      </c>
      <c r="H26" s="55" t="s">
        <v>0</v>
      </c>
      <c r="I26" s="233">
        <f>AVERAGE(I15:I21)</f>
        <v>12</v>
      </c>
      <c r="J26" s="55">
        <f>AVERAGE(J15:J21)</f>
        <v>6.028571428571429E-2</v>
      </c>
      <c r="L26" s="12"/>
      <c r="M26" s="12"/>
    </row>
    <row r="27" spans="1:13" ht="17">
      <c r="A27" s="12"/>
      <c r="B27" s="12"/>
      <c r="D27" s="56" t="s">
        <v>0</v>
      </c>
      <c r="E27" s="14" t="s">
        <v>270</v>
      </c>
      <c r="G27" s="233">
        <f>TRIMMEAN(G15:G21,(2/COUNT(G15:G21)))</f>
        <v>12</v>
      </c>
      <c r="H27" s="55" t="s">
        <v>0</v>
      </c>
      <c r="I27" s="233">
        <f>TRIMMEAN(I15:I21,(2/COUNT(I15:I21)))</f>
        <v>11.8</v>
      </c>
      <c r="J27" s="55">
        <f>TRIMMEAN(J15:J21,(2/COUNT(J15:J21)))</f>
        <v>5.9240000000000001E-2</v>
      </c>
      <c r="L27" s="12"/>
      <c r="M27" s="12"/>
    </row>
    <row r="28" spans="1:13" ht="17.5" thickBot="1">
      <c r="A28" s="12"/>
      <c r="B28" s="12"/>
      <c r="C28" s="12"/>
      <c r="D28" s="12"/>
      <c r="E28" s="14"/>
      <c r="F28" s="56"/>
      <c r="H28" s="12"/>
      <c r="I28" s="12"/>
      <c r="J28" s="12"/>
      <c r="K28" s="12"/>
      <c r="L28" s="12"/>
      <c r="M28" s="12"/>
    </row>
    <row r="29" spans="1:13" ht="26" thickBot="1">
      <c r="A29" s="12"/>
      <c r="B29" s="12"/>
      <c r="C29" s="12"/>
      <c r="D29" s="12"/>
      <c r="E29" s="12"/>
      <c r="F29" s="201"/>
      <c r="G29" s="350"/>
      <c r="H29" s="202" t="s">
        <v>244</v>
      </c>
      <c r="I29" s="204">
        <v>12</v>
      </c>
      <c r="J29" s="203">
        <v>6.0299999999999999E-2</v>
      </c>
      <c r="K29" s="12"/>
      <c r="L29" s="12"/>
      <c r="M29" s="12"/>
    </row>
    <row r="30" spans="1:13" ht="17">
      <c r="A30" s="12"/>
      <c r="B30" s="12"/>
      <c r="C30" s="12"/>
      <c r="D30" s="12"/>
      <c r="E30" s="12"/>
      <c r="F30" s="12"/>
      <c r="G30" s="12"/>
      <c r="H30" s="12"/>
      <c r="I30" s="12"/>
      <c r="J30" s="12"/>
      <c r="K30" s="12"/>
      <c r="L30" s="12"/>
      <c r="M30" s="12"/>
    </row>
    <row r="31" spans="1:13" ht="17">
      <c r="A31" s="12"/>
      <c r="B31" s="12"/>
      <c r="C31" s="12"/>
      <c r="D31" s="12"/>
      <c r="E31" s="12"/>
      <c r="F31" s="12"/>
      <c r="G31" s="12"/>
      <c r="H31" s="12"/>
      <c r="I31" s="12"/>
      <c r="J31" s="12"/>
      <c r="K31" s="12"/>
      <c r="L31" s="12"/>
      <c r="M31" s="12"/>
    </row>
    <row r="32" spans="1:13" ht="21.5" thickBot="1">
      <c r="A32" s="298" t="s">
        <v>147</v>
      </c>
      <c r="B32" s="12"/>
      <c r="G32" s="12"/>
      <c r="H32" s="12"/>
      <c r="I32" s="12"/>
      <c r="J32" s="12"/>
      <c r="K32" s="12"/>
      <c r="L32" s="12"/>
      <c r="M32" s="12"/>
    </row>
    <row r="33" spans="1:13" ht="29.5" thickBot="1">
      <c r="A33" s="463" t="s">
        <v>428</v>
      </c>
      <c r="B33" s="463" t="s">
        <v>342</v>
      </c>
      <c r="C33" s="463" t="s">
        <v>442</v>
      </c>
      <c r="D33" s="499" t="s">
        <v>529</v>
      </c>
      <c r="E33" s="499" t="s">
        <v>530</v>
      </c>
      <c r="F33" s="12"/>
      <c r="G33" s="12"/>
      <c r="H33" s="12"/>
      <c r="I33" s="12"/>
      <c r="M33" s="12"/>
    </row>
    <row r="34" spans="1:13" ht="17.5">
      <c r="A34" s="304" t="s">
        <v>354</v>
      </c>
      <c r="B34" s="308">
        <v>1</v>
      </c>
      <c r="C34" s="305" t="s">
        <v>353</v>
      </c>
      <c r="D34" s="464" t="s">
        <v>0</v>
      </c>
      <c r="E34" s="464" t="s">
        <v>0</v>
      </c>
      <c r="F34" s="12"/>
      <c r="G34" s="12"/>
      <c r="H34" s="12"/>
      <c r="I34" s="12"/>
      <c r="M34" s="12"/>
    </row>
    <row r="35" spans="1:13" ht="17.5">
      <c r="A35" s="57" t="s">
        <v>355</v>
      </c>
      <c r="B35" s="299">
        <v>2</v>
      </c>
      <c r="C35" s="306" t="s">
        <v>327</v>
      </c>
      <c r="D35" s="465">
        <v>4.7399999999999998E-2</v>
      </c>
      <c r="E35" s="465">
        <v>4.7399999999999998E-2</v>
      </c>
      <c r="F35" s="12" t="s">
        <v>198</v>
      </c>
      <c r="H35" s="12"/>
      <c r="I35" s="12"/>
      <c r="M35" s="12"/>
    </row>
    <row r="36" spans="1:13" ht="18" thickBot="1">
      <c r="A36" s="58" t="s">
        <v>356</v>
      </c>
      <c r="B36" s="301">
        <v>3</v>
      </c>
      <c r="C36" s="307" t="s">
        <v>352</v>
      </c>
      <c r="D36" s="466"/>
      <c r="E36" s="466"/>
      <c r="F36" s="12"/>
      <c r="H36" s="12"/>
      <c r="I36" s="12"/>
      <c r="M36" s="12"/>
    </row>
    <row r="37" spans="1:13" ht="17.5">
      <c r="A37" s="57" t="s">
        <v>146</v>
      </c>
      <c r="B37" s="299">
        <v>4</v>
      </c>
      <c r="C37" s="300" t="s">
        <v>326</v>
      </c>
      <c r="D37" s="465"/>
      <c r="E37" s="465"/>
      <c r="F37" s="12"/>
      <c r="H37" s="12"/>
      <c r="I37" s="12"/>
      <c r="M37" s="12"/>
    </row>
    <row r="38" spans="1:13" ht="17.5">
      <c r="A38" s="57" t="s">
        <v>145</v>
      </c>
      <c r="B38" s="299">
        <v>5</v>
      </c>
      <c r="C38" s="300" t="s">
        <v>328</v>
      </c>
      <c r="D38" s="465">
        <v>5.0500000000000003E-2</v>
      </c>
      <c r="E38" s="465">
        <v>5.2699999999999997E-2</v>
      </c>
      <c r="F38" s="12" t="s">
        <v>329</v>
      </c>
      <c r="H38" s="12"/>
      <c r="I38" s="12"/>
      <c r="M38" s="12"/>
    </row>
    <row r="39" spans="1:13" ht="18" thickBot="1">
      <c r="A39" s="58" t="s">
        <v>144</v>
      </c>
      <c r="B39" s="301">
        <v>6</v>
      </c>
      <c r="C39" s="302" t="s">
        <v>330</v>
      </c>
      <c r="D39" s="467" t="s">
        <v>0</v>
      </c>
      <c r="E39" s="467" t="s">
        <v>0</v>
      </c>
      <c r="F39" s="12"/>
      <c r="H39" s="12"/>
      <c r="I39" s="12"/>
      <c r="M39" s="12"/>
    </row>
    <row r="40" spans="1:13" ht="17.5">
      <c r="A40" s="57" t="s">
        <v>55</v>
      </c>
      <c r="B40" s="299">
        <v>7</v>
      </c>
      <c r="C40" s="300" t="s">
        <v>43</v>
      </c>
      <c r="D40" s="468" t="s">
        <v>0</v>
      </c>
      <c r="E40" s="468" t="s">
        <v>0</v>
      </c>
      <c r="H40" s="12"/>
      <c r="I40" s="12"/>
      <c r="M40" s="12"/>
    </row>
    <row r="41" spans="1:13" ht="17.5">
      <c r="A41" s="57" t="s">
        <v>143</v>
      </c>
      <c r="B41" s="299">
        <v>8</v>
      </c>
      <c r="C41" s="300" t="s">
        <v>24</v>
      </c>
      <c r="D41" s="469">
        <v>5.2499999999999998E-2</v>
      </c>
      <c r="E41" s="469">
        <v>5.4199999999999998E-2</v>
      </c>
      <c r="F41" s="12" t="s">
        <v>199</v>
      </c>
      <c r="H41" s="12"/>
      <c r="I41" s="12"/>
      <c r="M41" s="12"/>
    </row>
    <row r="42" spans="1:13" ht="18" thickBot="1">
      <c r="A42" s="58" t="s">
        <v>57</v>
      </c>
      <c r="B42" s="301">
        <v>9</v>
      </c>
      <c r="C42" s="302" t="s">
        <v>59</v>
      </c>
      <c r="D42" s="467"/>
      <c r="E42" s="467"/>
      <c r="F42" s="12"/>
      <c r="H42" s="12"/>
      <c r="I42" s="12"/>
      <c r="M42" s="12"/>
    </row>
    <row r="43" spans="1:13" ht="17.5">
      <c r="A43" s="57" t="s">
        <v>52</v>
      </c>
      <c r="B43" s="299">
        <v>10</v>
      </c>
      <c r="C43" s="300" t="s">
        <v>331</v>
      </c>
      <c r="D43" s="469"/>
      <c r="E43" s="469"/>
      <c r="H43" s="12"/>
      <c r="I43" s="12"/>
      <c r="J43" s="12"/>
      <c r="K43" s="12"/>
      <c r="L43" s="12"/>
      <c r="M43" s="12"/>
    </row>
    <row r="44" spans="1:13" ht="17.5">
      <c r="A44" s="57" t="s">
        <v>53</v>
      </c>
      <c r="B44" s="299">
        <v>11</v>
      </c>
      <c r="C44" s="300" t="s">
        <v>332</v>
      </c>
      <c r="D44" s="469">
        <v>5.6399999999999999E-2</v>
      </c>
      <c r="E44" s="469">
        <v>5.6800000000000003E-2</v>
      </c>
      <c r="F44" s="12" t="s">
        <v>202</v>
      </c>
      <c r="H44" s="12"/>
      <c r="I44" s="12"/>
      <c r="J44" s="12"/>
      <c r="K44" s="12"/>
      <c r="L44" s="12"/>
      <c r="M44" s="12"/>
    </row>
    <row r="45" spans="1:13" ht="18" thickBot="1">
      <c r="A45" s="58" t="s">
        <v>58</v>
      </c>
      <c r="B45" s="301">
        <v>12</v>
      </c>
      <c r="C45" s="302" t="s">
        <v>333</v>
      </c>
      <c r="D45" s="469" t="s">
        <v>0</v>
      </c>
      <c r="E45" s="469" t="s">
        <v>0</v>
      </c>
      <c r="F45" s="12"/>
      <c r="H45" s="12"/>
      <c r="I45" s="12"/>
      <c r="J45" s="12"/>
      <c r="K45" s="12"/>
      <c r="L45" s="12"/>
      <c r="M45" s="12"/>
    </row>
    <row r="46" spans="1:13" ht="17.5">
      <c r="A46" s="57" t="s">
        <v>56</v>
      </c>
      <c r="B46" s="299">
        <v>13</v>
      </c>
      <c r="C46" s="300" t="s">
        <v>334</v>
      </c>
      <c r="D46" s="468" t="s">
        <v>0</v>
      </c>
      <c r="E46" s="468" t="s">
        <v>0</v>
      </c>
      <c r="H46" s="12"/>
      <c r="I46" s="12"/>
      <c r="J46" s="12"/>
      <c r="K46" s="12"/>
      <c r="L46" s="12"/>
      <c r="M46" s="12"/>
    </row>
    <row r="47" spans="1:13" ht="17.5">
      <c r="A47" s="57" t="s">
        <v>142</v>
      </c>
      <c r="B47" s="299">
        <v>14</v>
      </c>
      <c r="C47" s="300" t="s">
        <v>335</v>
      </c>
      <c r="D47" s="465">
        <v>6.8500000000000005E-2</v>
      </c>
      <c r="E47" s="465">
        <v>6.9000000000000006E-2</v>
      </c>
      <c r="F47" s="12" t="s">
        <v>201</v>
      </c>
      <c r="H47" s="12"/>
      <c r="I47" s="12"/>
      <c r="J47" s="12"/>
      <c r="K47" s="12"/>
      <c r="L47" s="12"/>
      <c r="M47" s="12"/>
    </row>
    <row r="48" spans="1:13" ht="18" thickBot="1">
      <c r="A48" s="58" t="s">
        <v>141</v>
      </c>
      <c r="B48" s="301">
        <v>15</v>
      </c>
      <c r="C48" s="302" t="s">
        <v>336</v>
      </c>
      <c r="D48" s="466" t="s">
        <v>0</v>
      </c>
      <c r="E48" s="466" t="s">
        <v>0</v>
      </c>
      <c r="F48" s="12"/>
      <c r="H48" s="12"/>
      <c r="I48" s="12"/>
      <c r="J48" s="12"/>
      <c r="K48" s="12"/>
      <c r="L48" s="12"/>
      <c r="M48" s="12"/>
    </row>
    <row r="49" spans="1:13" ht="17.5">
      <c r="A49" s="57" t="s">
        <v>140</v>
      </c>
      <c r="B49" s="299">
        <v>16</v>
      </c>
      <c r="C49" s="300" t="s">
        <v>25</v>
      </c>
      <c r="D49" s="468"/>
      <c r="E49" s="468"/>
      <c r="H49" s="12"/>
      <c r="I49" s="12"/>
      <c r="J49" s="12"/>
      <c r="K49" s="12"/>
      <c r="L49" s="12"/>
      <c r="M49" s="12"/>
    </row>
    <row r="50" spans="1:13" ht="17.5">
      <c r="A50" s="57" t="s">
        <v>139</v>
      </c>
      <c r="B50" s="299">
        <v>17</v>
      </c>
      <c r="C50" s="300" t="s">
        <v>90</v>
      </c>
      <c r="D50" s="469">
        <v>7.46E-2</v>
      </c>
      <c r="E50" s="469">
        <v>7.6499999999999999E-2</v>
      </c>
      <c r="F50" s="12" t="s">
        <v>200</v>
      </c>
      <c r="H50" s="12"/>
      <c r="I50" s="12"/>
      <c r="J50" s="12"/>
      <c r="K50" s="12"/>
      <c r="L50" s="12"/>
      <c r="M50" s="12"/>
    </row>
    <row r="51" spans="1:13" ht="18" thickBot="1">
      <c r="A51" s="58" t="s">
        <v>138</v>
      </c>
      <c r="B51" s="301">
        <v>18</v>
      </c>
      <c r="C51" s="302" t="s">
        <v>337</v>
      </c>
      <c r="D51" s="466"/>
      <c r="E51" s="466"/>
      <c r="F51" s="12"/>
      <c r="H51" s="12"/>
      <c r="I51" s="12"/>
      <c r="J51" s="12"/>
      <c r="K51" s="12"/>
      <c r="L51" s="12"/>
      <c r="M51" s="12"/>
    </row>
    <row r="52" spans="1:13" ht="17.5">
      <c r="A52" s="57" t="s">
        <v>137</v>
      </c>
      <c r="B52" s="299">
        <v>19</v>
      </c>
      <c r="C52" s="300" t="s">
        <v>338</v>
      </c>
      <c r="D52" s="469"/>
      <c r="E52" s="469"/>
      <c r="H52" s="12"/>
      <c r="I52" s="12"/>
      <c r="J52" s="12"/>
      <c r="K52" s="12"/>
      <c r="L52" s="12"/>
      <c r="M52" s="12"/>
    </row>
    <row r="53" spans="1:13" ht="17.5">
      <c r="A53" s="57" t="s">
        <v>136</v>
      </c>
      <c r="B53" s="299">
        <v>20</v>
      </c>
      <c r="C53" s="300" t="s">
        <v>339</v>
      </c>
      <c r="D53" s="469">
        <v>8.0699999999999994E-2</v>
      </c>
      <c r="E53" s="469">
        <v>8.2799999999999999E-2</v>
      </c>
      <c r="F53" s="12" t="s">
        <v>197</v>
      </c>
      <c r="H53" s="12"/>
      <c r="I53" s="12"/>
      <c r="J53" s="12"/>
      <c r="K53" s="12"/>
      <c r="L53" s="12"/>
      <c r="M53" s="12"/>
    </row>
    <row r="54" spans="1:13" ht="18" thickBot="1">
      <c r="A54" s="58" t="s">
        <v>135</v>
      </c>
      <c r="B54" s="301">
        <v>21</v>
      </c>
      <c r="C54" s="470" t="s">
        <v>340</v>
      </c>
      <c r="D54" s="467"/>
      <c r="E54" s="467"/>
      <c r="F54" s="12"/>
      <c r="H54" s="12"/>
      <c r="I54" s="12"/>
      <c r="J54" s="12"/>
      <c r="K54" s="12"/>
      <c r="L54" s="12"/>
      <c r="M54" s="12"/>
    </row>
    <row r="55" spans="1:13" ht="17.5">
      <c r="A55" s="471" t="s">
        <v>347</v>
      </c>
      <c r="B55" s="472">
        <v>22</v>
      </c>
      <c r="C55" s="473" t="s">
        <v>350</v>
      </c>
      <c r="D55" s="474"/>
      <c r="E55" s="474"/>
      <c r="H55" s="12"/>
      <c r="I55" s="12"/>
      <c r="J55" s="12"/>
      <c r="K55" s="12"/>
      <c r="L55" s="12"/>
      <c r="M55" s="12"/>
    </row>
    <row r="56" spans="1:13" ht="17.5">
      <c r="A56" s="471" t="s">
        <v>348</v>
      </c>
      <c r="B56" s="475">
        <v>23</v>
      </c>
      <c r="C56" s="476" t="s">
        <v>341</v>
      </c>
      <c r="D56" s="477"/>
      <c r="E56" s="477"/>
      <c r="F56" s="12" t="s">
        <v>195</v>
      </c>
      <c r="H56" s="12"/>
      <c r="I56" s="12"/>
      <c r="J56" s="12"/>
      <c r="K56" s="12"/>
      <c r="L56" s="12"/>
      <c r="M56" s="12"/>
    </row>
    <row r="57" spans="1:13" ht="18" thickBot="1">
      <c r="A57" s="478" t="s">
        <v>349</v>
      </c>
      <c r="B57" s="479">
        <v>24</v>
      </c>
      <c r="C57" s="470" t="s">
        <v>351</v>
      </c>
      <c r="D57" s="480"/>
      <c r="E57" s="480"/>
      <c r="F57" s="12"/>
      <c r="H57" s="12"/>
      <c r="I57" s="12"/>
      <c r="J57" s="12"/>
      <c r="K57" s="12"/>
      <c r="L57" s="12"/>
      <c r="M57" s="12"/>
    </row>
    <row r="58" spans="1:13" ht="18" thickBot="1">
      <c r="A58" s="58" t="s">
        <v>272</v>
      </c>
      <c r="B58" s="301">
        <v>25</v>
      </c>
      <c r="C58" s="58" t="s">
        <v>91</v>
      </c>
      <c r="D58" s="481"/>
      <c r="E58" s="481"/>
      <c r="F58" s="12" t="s">
        <v>196</v>
      </c>
      <c r="H58" s="12"/>
      <c r="I58" s="12"/>
      <c r="J58" s="12"/>
      <c r="K58" s="12"/>
      <c r="L58" s="12"/>
    </row>
  </sheetData>
  <pageMargins left="0.25" right="0.25" top="0.75" bottom="0.75" header="0.3" footer="0.3"/>
  <pageSetup scale="47"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8"/>
  <sheetViews>
    <sheetView view="pageBreakPreview" zoomScale="60" zoomScaleNormal="80" workbookViewId="0">
      <selection activeCell="J32" sqref="J32"/>
    </sheetView>
  </sheetViews>
  <sheetFormatPr defaultRowHeight="14.5"/>
  <cols>
    <col min="1" max="1" width="48.81640625" customWidth="1"/>
    <col min="2" max="2" width="13.1796875" customWidth="1"/>
    <col min="3" max="3" width="19.81640625" customWidth="1"/>
    <col min="4" max="4" width="24.7265625" customWidth="1"/>
    <col min="5" max="5" width="22.7265625" customWidth="1"/>
    <col min="6" max="7" width="21.26953125" customWidth="1"/>
    <col min="8" max="8" width="12.453125" customWidth="1"/>
    <col min="9" max="9" width="18.453125" customWidth="1"/>
    <col min="10" max="10" width="21.26953125" customWidth="1"/>
    <col min="11" max="11" width="2.26953125" customWidth="1"/>
    <col min="12" max="12" width="22.7265625" customWidth="1"/>
    <col min="13" max="13" width="17.26953125" customWidth="1"/>
  </cols>
  <sheetData>
    <row r="1" spans="1:14" ht="25.5">
      <c r="A1" s="23" t="s">
        <v>1</v>
      </c>
      <c r="B1" s="12"/>
      <c r="C1" s="12"/>
      <c r="D1" s="12"/>
      <c r="E1" s="12"/>
      <c r="F1" s="12"/>
      <c r="G1" s="12"/>
      <c r="H1" s="12"/>
      <c r="I1" s="12"/>
      <c r="J1" s="12"/>
      <c r="K1" s="12"/>
      <c r="L1" s="12"/>
      <c r="M1" s="12"/>
      <c r="N1" s="12"/>
    </row>
    <row r="2" spans="1:14" ht="17.5">
      <c r="A2" s="62" t="s">
        <v>9</v>
      </c>
      <c r="B2" s="12"/>
      <c r="C2" s="12"/>
      <c r="D2" s="12"/>
      <c r="E2" s="12"/>
      <c r="F2" s="12"/>
      <c r="G2" s="12"/>
      <c r="H2" s="12"/>
      <c r="I2" s="12"/>
      <c r="J2" s="12"/>
      <c r="K2" s="12"/>
      <c r="L2" s="12"/>
      <c r="M2" s="12"/>
      <c r="N2" s="12"/>
    </row>
    <row r="3" spans="1:14" ht="17">
      <c r="A3" s="25" t="s">
        <v>480</v>
      </c>
      <c r="B3" s="12"/>
      <c r="C3" s="12"/>
      <c r="D3" s="12"/>
      <c r="E3" s="12"/>
      <c r="F3" s="12"/>
      <c r="G3" s="12"/>
      <c r="H3" s="12"/>
      <c r="I3" s="12"/>
      <c r="J3" s="12"/>
      <c r="K3" s="12"/>
      <c r="L3" s="12"/>
      <c r="M3" s="12"/>
      <c r="N3" s="12"/>
    </row>
    <row r="4" spans="1:14" ht="17">
      <c r="A4" s="12"/>
      <c r="B4" s="12"/>
      <c r="C4" s="12"/>
      <c r="D4" s="26" t="s">
        <v>0</v>
      </c>
      <c r="E4" s="12"/>
      <c r="F4" s="12"/>
      <c r="G4" s="12"/>
      <c r="H4" s="12"/>
      <c r="I4" s="12"/>
      <c r="J4" s="12"/>
      <c r="K4" s="12"/>
      <c r="L4" s="12"/>
      <c r="M4" s="12"/>
      <c r="N4" s="12"/>
    </row>
    <row r="5" spans="1:14" ht="18" thickBot="1">
      <c r="A5" s="62"/>
      <c r="B5" s="12"/>
      <c r="C5" s="12"/>
      <c r="D5" s="12"/>
      <c r="E5" s="12"/>
      <c r="F5" s="12"/>
      <c r="G5" s="12"/>
      <c r="H5" s="12"/>
      <c r="I5" s="12"/>
      <c r="J5" s="12"/>
      <c r="K5" s="12"/>
      <c r="L5" s="12"/>
      <c r="M5" s="12"/>
      <c r="N5" s="12"/>
    </row>
    <row r="6" spans="1:14" ht="18" thickBot="1">
      <c r="A6" s="284" t="str">
        <f>+'S&amp;D'!A12</f>
        <v>Liquid Transportation Pipeline Carriers</v>
      </c>
      <c r="B6" s="208"/>
      <c r="C6" s="12"/>
      <c r="D6" s="12"/>
      <c r="E6" s="12"/>
      <c r="F6" s="12"/>
      <c r="G6" s="12"/>
      <c r="H6" s="12"/>
      <c r="I6" s="12"/>
      <c r="J6" s="12"/>
      <c r="K6" s="12"/>
      <c r="L6" s="12"/>
      <c r="M6" s="12"/>
      <c r="N6" s="12"/>
    </row>
    <row r="7" spans="1:14" ht="17.5">
      <c r="A7" s="62"/>
      <c r="B7" s="12"/>
      <c r="C7" s="12"/>
      <c r="D7" s="12"/>
      <c r="E7" s="12"/>
      <c r="F7" s="12"/>
      <c r="G7" s="12"/>
      <c r="H7" s="12"/>
      <c r="I7" s="12"/>
      <c r="J7" s="12"/>
      <c r="K7" s="12"/>
      <c r="L7" s="12"/>
      <c r="M7" s="12"/>
      <c r="N7" s="12"/>
    </row>
    <row r="8" spans="1:14" ht="18" thickBot="1">
      <c r="A8" s="62"/>
      <c r="B8" s="12"/>
      <c r="C8" s="28"/>
      <c r="D8" s="28"/>
      <c r="E8" s="28"/>
      <c r="F8" s="12"/>
      <c r="G8" s="12"/>
      <c r="H8" s="28"/>
      <c r="I8" s="28"/>
      <c r="J8" s="28"/>
      <c r="K8" s="28"/>
      <c r="L8" s="28"/>
      <c r="M8" s="28"/>
      <c r="N8" s="12"/>
    </row>
    <row r="9" spans="1:14" ht="25.5">
      <c r="B9" s="12"/>
      <c r="C9" s="12"/>
      <c r="D9" s="31" t="s">
        <v>313</v>
      </c>
      <c r="E9" s="12"/>
      <c r="F9" s="12"/>
      <c r="G9" s="12"/>
      <c r="H9" s="12"/>
      <c r="I9" s="12"/>
      <c r="J9" s="12"/>
      <c r="K9" s="68" t="s">
        <v>314</v>
      </c>
      <c r="L9" s="12"/>
      <c r="M9" s="12"/>
      <c r="N9" s="12"/>
    </row>
    <row r="10" spans="1:14" ht="21.5" thickBot="1">
      <c r="A10" s="30"/>
      <c r="B10" s="12"/>
      <c r="C10" s="28"/>
      <c r="D10" s="32" t="s">
        <v>481</v>
      </c>
      <c r="E10" s="28"/>
      <c r="F10" s="12"/>
      <c r="G10" s="12"/>
      <c r="H10" s="28"/>
      <c r="I10" s="28"/>
      <c r="J10" s="28"/>
      <c r="K10" s="32" t="s">
        <v>481</v>
      </c>
      <c r="L10" s="28"/>
      <c r="M10" s="28"/>
      <c r="N10" s="12"/>
    </row>
    <row r="11" spans="1:14" ht="17.5" thickBot="1">
      <c r="A11" s="33" t="s">
        <v>0</v>
      </c>
      <c r="B11" s="33" t="s">
        <v>0</v>
      </c>
      <c r="C11" s="33" t="s">
        <v>0</v>
      </c>
      <c r="D11" s="33" t="s">
        <v>0</v>
      </c>
      <c r="E11" s="33" t="s">
        <v>0</v>
      </c>
      <c r="F11" s="33" t="s">
        <v>0</v>
      </c>
      <c r="G11" s="40"/>
      <c r="H11" s="28"/>
      <c r="I11" s="33" t="s">
        <v>0</v>
      </c>
      <c r="J11" s="28"/>
      <c r="K11" s="28"/>
      <c r="L11" s="28"/>
      <c r="M11" s="28"/>
      <c r="N11" s="12"/>
    </row>
    <row r="12" spans="1:14" ht="17">
      <c r="A12" s="34" t="s">
        <v>0</v>
      </c>
      <c r="B12" s="34" t="s">
        <v>3</v>
      </c>
      <c r="C12" s="34" t="s">
        <v>357</v>
      </c>
      <c r="D12" s="34" t="s">
        <v>111</v>
      </c>
      <c r="E12" s="34" t="s">
        <v>111</v>
      </c>
      <c r="F12" s="34" t="s">
        <v>26</v>
      </c>
      <c r="G12" s="34"/>
      <c r="H12" s="34" t="s">
        <v>3</v>
      </c>
      <c r="I12" s="34" t="s">
        <v>357</v>
      </c>
      <c r="J12" s="34" t="s">
        <v>111</v>
      </c>
      <c r="K12" s="34"/>
      <c r="L12" s="34" t="s">
        <v>111</v>
      </c>
      <c r="M12" s="34" t="s">
        <v>26</v>
      </c>
      <c r="N12" s="12"/>
    </row>
    <row r="13" spans="1:14" ht="17.5" thickBot="1">
      <c r="A13" s="36" t="s">
        <v>2</v>
      </c>
      <c r="B13" s="36" t="s">
        <v>4</v>
      </c>
      <c r="C13" s="36" t="s">
        <v>27</v>
      </c>
      <c r="D13" s="36" t="s">
        <v>170</v>
      </c>
      <c r="E13" s="36" t="s">
        <v>28</v>
      </c>
      <c r="F13" s="36" t="s">
        <v>29</v>
      </c>
      <c r="G13" s="34"/>
      <c r="H13" s="36" t="s">
        <v>4</v>
      </c>
      <c r="I13" s="36" t="s">
        <v>27</v>
      </c>
      <c r="J13" s="36" t="s">
        <v>170</v>
      </c>
      <c r="K13" s="36"/>
      <c r="L13" s="36" t="s">
        <v>28</v>
      </c>
      <c r="M13" s="36" t="s">
        <v>29</v>
      </c>
      <c r="N13" s="12"/>
    </row>
    <row r="14" spans="1:14" ht="17">
      <c r="A14" s="38" t="s">
        <v>0</v>
      </c>
      <c r="B14" s="38" t="s">
        <v>0</v>
      </c>
      <c r="C14" s="39" t="s">
        <v>114</v>
      </c>
      <c r="D14" s="38" t="s">
        <v>115</v>
      </c>
      <c r="E14" s="38" t="s">
        <v>0</v>
      </c>
      <c r="F14" s="38" t="s">
        <v>0</v>
      </c>
      <c r="G14" s="40"/>
      <c r="H14" s="38" t="s">
        <v>0</v>
      </c>
      <c r="I14" s="39" t="s">
        <v>114</v>
      </c>
      <c r="J14" s="38" t="s">
        <v>116</v>
      </c>
      <c r="K14" s="38"/>
      <c r="L14" s="38" t="s">
        <v>0</v>
      </c>
      <c r="M14" s="38" t="s">
        <v>0</v>
      </c>
      <c r="N14" s="12"/>
    </row>
    <row r="15" spans="1:14" ht="17">
      <c r="A15" s="34"/>
      <c r="B15" s="34"/>
      <c r="C15" s="34"/>
      <c r="D15" s="34"/>
      <c r="E15" s="34"/>
      <c r="F15" s="34"/>
      <c r="G15" s="34"/>
      <c r="H15" s="34"/>
      <c r="I15" s="34"/>
      <c r="J15" s="34"/>
      <c r="K15" s="34"/>
      <c r="L15" s="34"/>
      <c r="M15" s="34"/>
      <c r="N15" s="12"/>
    </row>
    <row r="16" spans="1:14" ht="17">
      <c r="A16" s="12"/>
      <c r="B16" s="12"/>
      <c r="C16" s="12"/>
      <c r="D16" s="12"/>
      <c r="E16" s="12"/>
      <c r="F16" s="12"/>
      <c r="G16" s="12"/>
      <c r="H16" s="12"/>
      <c r="I16" s="12"/>
      <c r="J16" s="12"/>
      <c r="K16" s="12"/>
      <c r="L16" s="12"/>
      <c r="M16" s="12"/>
      <c r="N16" s="12"/>
    </row>
    <row r="17" spans="1:14" ht="17.5">
      <c r="A17" s="62" t="str">
        <f>+'S&amp;D'!A22</f>
        <v>Energy Transfer LP</v>
      </c>
      <c r="B17" s="91" t="str">
        <f>+'S&amp;D'!B22</f>
        <v>ET</v>
      </c>
      <c r="C17" s="59">
        <f>+'S&amp;D'!G22</f>
        <v>13.8</v>
      </c>
      <c r="D17" s="61">
        <v>2.7</v>
      </c>
      <c r="E17" s="69">
        <f t="shared" ref="E17:E19" si="0">C17/D17</f>
        <v>5.1111111111111107</v>
      </c>
      <c r="F17" s="56">
        <f t="shared" ref="F17:F19" si="1">1/E17</f>
        <v>0.19565217391304349</v>
      </c>
      <c r="G17" s="56"/>
      <c r="H17" s="91" t="str">
        <f t="shared" ref="H17:H19" si="2">+B17</f>
        <v>ET</v>
      </c>
      <c r="I17" s="59">
        <f t="shared" ref="I17:I19" si="3">+C17</f>
        <v>13.8</v>
      </c>
      <c r="J17" s="322">
        <v>3.1</v>
      </c>
      <c r="K17" s="61"/>
      <c r="L17" s="69">
        <f t="shared" ref="L17:L19" si="4">I17/J17</f>
        <v>4.4516129032258069</v>
      </c>
      <c r="M17" s="56">
        <f t="shared" ref="M17:M19" si="5">1/L17</f>
        <v>0.22463768115942026</v>
      </c>
      <c r="N17" s="12"/>
    </row>
    <row r="18" spans="1:14" ht="17.5">
      <c r="A18" s="62" t="str">
        <f>+'S&amp;D'!A23</f>
        <v>Enterprise Products Partnership LP</v>
      </c>
      <c r="B18" s="91" t="str">
        <f>+'S&amp;D'!B23</f>
        <v>EPD</v>
      </c>
      <c r="C18" s="59">
        <f>+'S&amp;D'!G23</f>
        <v>26.35</v>
      </c>
      <c r="D18" s="61">
        <v>3.8</v>
      </c>
      <c r="E18" s="69">
        <f t="shared" si="0"/>
        <v>6.9342105263157903</v>
      </c>
      <c r="F18" s="56">
        <f t="shared" si="1"/>
        <v>0.14421252371916507</v>
      </c>
      <c r="G18" s="56"/>
      <c r="H18" s="91" t="str">
        <f t="shared" si="2"/>
        <v>EPD</v>
      </c>
      <c r="I18" s="59">
        <f t="shared" si="3"/>
        <v>26.35</v>
      </c>
      <c r="J18" s="322">
        <v>4</v>
      </c>
      <c r="K18" s="61"/>
      <c r="L18" s="69">
        <f t="shared" si="4"/>
        <v>6.5875000000000004</v>
      </c>
      <c r="M18" s="56">
        <f t="shared" si="5"/>
        <v>0.15180265654648956</v>
      </c>
      <c r="N18" s="12"/>
    </row>
    <row r="19" spans="1:14" ht="17.5">
      <c r="A19" s="62" t="str">
        <f>+'S&amp;D'!A24</f>
        <v>Hess Midstream LP</v>
      </c>
      <c r="B19" s="91" t="str">
        <f>+'S&amp;D'!B24</f>
        <v>HESM</v>
      </c>
      <c r="C19" s="59">
        <f>+'S&amp;D'!G24</f>
        <v>31.63</v>
      </c>
      <c r="D19" s="61">
        <v>5.4</v>
      </c>
      <c r="E19" s="69">
        <f t="shared" si="0"/>
        <v>5.8574074074074067</v>
      </c>
      <c r="F19" s="56">
        <f t="shared" si="1"/>
        <v>0.17072399620613343</v>
      </c>
      <c r="G19" s="56"/>
      <c r="H19" s="91" t="str">
        <f t="shared" si="2"/>
        <v>HESM</v>
      </c>
      <c r="I19" s="59">
        <f t="shared" si="3"/>
        <v>31.63</v>
      </c>
      <c r="J19" s="322">
        <v>5.85</v>
      </c>
      <c r="K19" s="61"/>
      <c r="L19" s="69">
        <f t="shared" si="4"/>
        <v>5.4068376068376072</v>
      </c>
      <c r="M19" s="56">
        <f t="shared" si="5"/>
        <v>0.18495099588997785</v>
      </c>
      <c r="N19" s="12"/>
    </row>
    <row r="20" spans="1:14" ht="17.5">
      <c r="A20" s="62" t="str">
        <f>+'S&amp;D'!A25</f>
        <v>MPLX, LP</v>
      </c>
      <c r="B20" s="91" t="str">
        <f>+'S&amp;D'!B25</f>
        <v>MPLX</v>
      </c>
      <c r="C20" s="59">
        <f>+'S&amp;D'!G25</f>
        <v>36.72</v>
      </c>
      <c r="D20" s="61">
        <v>5.65</v>
      </c>
      <c r="E20" s="69">
        <f t="shared" ref="E20:E23" si="6">C20/D20</f>
        <v>6.4991150442477874</v>
      </c>
      <c r="F20" s="56">
        <f t="shared" ref="F20:F23" si="7">1/E20</f>
        <v>0.15386710239651416</v>
      </c>
      <c r="G20" s="56"/>
      <c r="H20" s="91" t="str">
        <f t="shared" ref="H20:H23" si="8">+B20</f>
        <v>MPLX</v>
      </c>
      <c r="I20" s="59">
        <f t="shared" ref="I20:I23" si="9">+C20</f>
        <v>36.72</v>
      </c>
      <c r="J20" s="322">
        <v>6.15</v>
      </c>
      <c r="K20" s="61"/>
      <c r="L20" s="69">
        <f t="shared" ref="L20:L23" si="10">I20/J20</f>
        <v>5.9707317073170723</v>
      </c>
      <c r="M20" s="56">
        <f t="shared" ref="M20:M23" si="11">1/L20</f>
        <v>0.16748366013071897</v>
      </c>
      <c r="N20" s="12"/>
    </row>
    <row r="21" spans="1:14" ht="17.5">
      <c r="A21" s="62" t="str">
        <f>+'S&amp;D'!A26</f>
        <v>NuStar Energy LP</v>
      </c>
      <c r="B21" s="91" t="str">
        <f>+'S&amp;D'!B26</f>
        <v>NS</v>
      </c>
      <c r="C21" s="59">
        <f>+'S&amp;D'!G26</f>
        <v>18.68</v>
      </c>
      <c r="D21" s="61">
        <v>4.9000000000000004</v>
      </c>
      <c r="E21" s="69">
        <f t="shared" si="6"/>
        <v>3.8122448979591832</v>
      </c>
      <c r="F21" s="56">
        <f t="shared" si="7"/>
        <v>0.26231263383297648</v>
      </c>
      <c r="G21" s="56"/>
      <c r="H21" s="91" t="str">
        <f t="shared" si="8"/>
        <v>NS</v>
      </c>
      <c r="I21" s="59">
        <f t="shared" si="9"/>
        <v>18.68</v>
      </c>
      <c r="J21" s="322">
        <v>5.2</v>
      </c>
      <c r="K21" s="61"/>
      <c r="L21" s="69">
        <f t="shared" si="10"/>
        <v>3.592307692307692</v>
      </c>
      <c r="M21" s="56">
        <f t="shared" si="11"/>
        <v>0.27837259100642403</v>
      </c>
      <c r="N21" s="12"/>
    </row>
    <row r="22" spans="1:14" ht="17.5">
      <c r="A22" s="62" t="str">
        <f>+'S&amp;D'!A27</f>
        <v>Plains All American Pipeline LP</v>
      </c>
      <c r="B22" s="91" t="str">
        <f>+'S&amp;D'!B27</f>
        <v>PAA</v>
      </c>
      <c r="C22" s="59">
        <f>+'S&amp;D'!G27</f>
        <v>15.15</v>
      </c>
      <c r="D22" s="61">
        <v>3.45</v>
      </c>
      <c r="E22" s="69">
        <f t="shared" si="6"/>
        <v>4.3913043478260869</v>
      </c>
      <c r="F22" s="56">
        <f t="shared" si="7"/>
        <v>0.22772277227722773</v>
      </c>
      <c r="G22" s="56"/>
      <c r="H22" s="91" t="str">
        <f t="shared" si="8"/>
        <v>PAA</v>
      </c>
      <c r="I22" s="59">
        <f t="shared" si="9"/>
        <v>15.15</v>
      </c>
      <c r="J22" s="322">
        <v>3.65</v>
      </c>
      <c r="K22" s="61"/>
      <c r="L22" s="69">
        <f t="shared" si="10"/>
        <v>4.1506849315068495</v>
      </c>
      <c r="M22" s="56">
        <f t="shared" si="11"/>
        <v>0.24092409240924093</v>
      </c>
      <c r="N22" s="12"/>
    </row>
    <row r="23" spans="1:14" ht="17.5">
      <c r="A23" s="62" t="str">
        <f>+'S&amp;D'!A28</f>
        <v>Western Midstream Partners LP</v>
      </c>
      <c r="B23" s="91" t="str">
        <f>+'S&amp;D'!B28</f>
        <v>WES</v>
      </c>
      <c r="C23" s="59">
        <f>+'S&amp;D'!G28</f>
        <v>29.26</v>
      </c>
      <c r="D23" s="61">
        <v>4.45</v>
      </c>
      <c r="E23" s="69">
        <f t="shared" si="6"/>
        <v>6.5752808988764047</v>
      </c>
      <c r="F23" s="56">
        <f t="shared" si="7"/>
        <v>0.15208475734791524</v>
      </c>
      <c r="G23" s="56"/>
      <c r="H23" s="91" t="str">
        <f t="shared" si="8"/>
        <v>WES</v>
      </c>
      <c r="I23" s="59">
        <f t="shared" si="9"/>
        <v>29.26</v>
      </c>
      <c r="J23" s="322">
        <v>4.5999999999999996</v>
      </c>
      <c r="K23" s="61"/>
      <c r="L23" s="69">
        <f t="shared" si="10"/>
        <v>6.3608695652173921</v>
      </c>
      <c r="M23" s="56">
        <f t="shared" si="11"/>
        <v>0.15721120984278877</v>
      </c>
      <c r="N23" s="12"/>
    </row>
    <row r="24" spans="1:14" ht="17.5" thickBot="1">
      <c r="A24" s="12"/>
      <c r="B24" s="70"/>
      <c r="C24" s="70"/>
      <c r="D24" s="70"/>
      <c r="E24" s="70"/>
      <c r="F24" s="70"/>
      <c r="G24" s="12"/>
      <c r="H24" s="70"/>
      <c r="I24" s="70"/>
      <c r="J24" s="323" t="s">
        <v>0</v>
      </c>
      <c r="K24" s="70"/>
      <c r="L24" s="70"/>
      <c r="M24" s="70"/>
      <c r="N24" s="12"/>
    </row>
    <row r="25" spans="1:14" ht="17.5" thickTop="1">
      <c r="A25" s="12"/>
      <c r="B25" s="14" t="s">
        <v>45</v>
      </c>
      <c r="C25" s="71">
        <f>MAX(C17:C23)</f>
        <v>36.72</v>
      </c>
      <c r="D25" s="71">
        <f t="shared" ref="D25:F25" si="12">MAX(D17:D23)</f>
        <v>5.65</v>
      </c>
      <c r="E25" s="71">
        <f t="shared" si="12"/>
        <v>6.9342105263157903</v>
      </c>
      <c r="F25" s="339">
        <f t="shared" si="12"/>
        <v>0.26231263383297648</v>
      </c>
      <c r="H25" s="14"/>
      <c r="I25" s="71">
        <f t="shared" ref="I25:M25" si="13">MAX(I17:I23)</f>
        <v>36.72</v>
      </c>
      <c r="J25" s="71">
        <f t="shared" si="13"/>
        <v>6.15</v>
      </c>
      <c r="K25" s="71"/>
      <c r="L25" s="71">
        <f t="shared" si="13"/>
        <v>6.5875000000000004</v>
      </c>
      <c r="M25" s="339">
        <f t="shared" si="13"/>
        <v>0.27837259100642403</v>
      </c>
      <c r="N25" s="12"/>
    </row>
    <row r="26" spans="1:14" ht="17">
      <c r="A26" s="12"/>
      <c r="B26" s="373" t="s">
        <v>46</v>
      </c>
      <c r="C26" s="378">
        <f>MIN(C17:C23)</f>
        <v>13.8</v>
      </c>
      <c r="D26" s="378">
        <f t="shared" ref="D26:F26" si="14">MIN(D17:D23)</f>
        <v>2.7</v>
      </c>
      <c r="E26" s="378">
        <f t="shared" si="14"/>
        <v>3.8122448979591832</v>
      </c>
      <c r="F26" s="370">
        <f t="shared" si="14"/>
        <v>0.14421252371916507</v>
      </c>
      <c r="H26" s="373"/>
      <c r="I26" s="378">
        <f t="shared" ref="I26:M26" si="15">MIN(I17:I23)</f>
        <v>13.8</v>
      </c>
      <c r="J26" s="378">
        <f t="shared" si="15"/>
        <v>3.1</v>
      </c>
      <c r="K26" s="378"/>
      <c r="L26" s="378">
        <f t="shared" si="15"/>
        <v>3.592307692307692</v>
      </c>
      <c r="M26" s="370">
        <f t="shared" si="15"/>
        <v>0.15180265654648956</v>
      </c>
      <c r="N26" s="12"/>
    </row>
    <row r="27" spans="1:14" ht="17">
      <c r="A27" s="12"/>
      <c r="B27" s="14" t="s">
        <v>18</v>
      </c>
      <c r="C27" s="72">
        <f>MEDIAN(C17:C23)</f>
        <v>26.35</v>
      </c>
      <c r="D27" s="73">
        <f>MEDIAN(D17:D23)</f>
        <v>4.45</v>
      </c>
      <c r="E27" s="21">
        <f>MEDIAN(E17:E23)</f>
        <v>5.8574074074074067</v>
      </c>
      <c r="F27" s="56">
        <f>MEDIAN(F17:F23)</f>
        <v>0.17072399620613343</v>
      </c>
      <c r="G27" s="56"/>
      <c r="H27" s="14" t="s">
        <v>18</v>
      </c>
      <c r="I27" s="72">
        <f>MEDIAN(I17:I23)</f>
        <v>26.35</v>
      </c>
      <c r="J27" s="73">
        <f>MEDIAN(J17:J23)</f>
        <v>4.5999999999999996</v>
      </c>
      <c r="K27" s="73"/>
      <c r="L27" s="21">
        <f>MEDIAN(L17:L23)</f>
        <v>5.4068376068376072</v>
      </c>
      <c r="M27" s="56">
        <f>MEDIAN(M17:M23)</f>
        <v>0.18495099588997785</v>
      </c>
      <c r="N27" s="12"/>
    </row>
    <row r="28" spans="1:14" ht="17">
      <c r="A28" s="12"/>
      <c r="B28" s="14" t="s">
        <v>440</v>
      </c>
      <c r="C28" s="21">
        <f>AVERAGE(C17:C23)</f>
        <v>24.512857142857143</v>
      </c>
      <c r="D28" s="17">
        <f>AVERAGE(D17:D23)</f>
        <v>4.3357142857142863</v>
      </c>
      <c r="E28" s="21">
        <f>AVERAGE(E17:E23)</f>
        <v>5.5972391762491105</v>
      </c>
      <c r="F28" s="74">
        <f>AVERAGE(F17:F23)</f>
        <v>0.18665370852756791</v>
      </c>
      <c r="G28" s="74"/>
      <c r="H28" s="14" t="s">
        <v>440</v>
      </c>
      <c r="I28" s="17">
        <f>AVERAGE(I17:I23)</f>
        <v>24.512857142857143</v>
      </c>
      <c r="J28" s="17">
        <f>AVERAGE(J17:J23)</f>
        <v>4.6499999999999995</v>
      </c>
      <c r="K28" s="17"/>
      <c r="L28" s="21">
        <f>AVERAGE(L17:L23)</f>
        <v>5.2172206294874872</v>
      </c>
      <c r="M28" s="74">
        <f>AVERAGE(M17:M23)</f>
        <v>0.2007689838550086</v>
      </c>
      <c r="N28" s="12"/>
    </row>
    <row r="29" spans="1:14" ht="17">
      <c r="A29" s="12"/>
      <c r="B29" s="12"/>
      <c r="C29" s="12"/>
      <c r="D29" s="12"/>
      <c r="E29" s="12"/>
      <c r="F29" s="12"/>
      <c r="G29" s="12"/>
      <c r="H29" s="12"/>
      <c r="I29" s="12"/>
      <c r="J29" s="12"/>
      <c r="K29" s="12"/>
      <c r="L29" s="12"/>
      <c r="M29" s="12"/>
      <c r="N29" s="12"/>
    </row>
    <row r="30" spans="1:14" ht="25.5">
      <c r="A30" s="12"/>
      <c r="B30" s="12"/>
      <c r="C30" s="12"/>
      <c r="D30" s="78" t="s">
        <v>74</v>
      </c>
      <c r="E30" s="486">
        <v>5.6</v>
      </c>
      <c r="F30" s="340">
        <v>0.1867</v>
      </c>
      <c r="G30" s="292"/>
      <c r="H30" s="12"/>
      <c r="I30" s="12"/>
      <c r="J30" s="78" t="s">
        <v>74</v>
      </c>
      <c r="K30" s="49"/>
      <c r="L30" s="341">
        <v>5.22</v>
      </c>
      <c r="M30" s="340">
        <v>0.20080000000000001</v>
      </c>
      <c r="N30" s="12"/>
    </row>
    <row r="31" spans="1:14" ht="30" customHeight="1" thickBot="1">
      <c r="A31" s="12"/>
      <c r="B31" s="12"/>
      <c r="C31" s="12"/>
      <c r="D31" s="12"/>
      <c r="E31" s="12"/>
      <c r="G31" s="75"/>
      <c r="H31" s="12"/>
      <c r="I31" s="12"/>
      <c r="J31" s="12"/>
      <c r="K31" s="12"/>
      <c r="L31" s="12"/>
      <c r="M31" s="12"/>
      <c r="N31" s="12"/>
    </row>
    <row r="32" spans="1:14" ht="26" thickBot="1">
      <c r="A32" s="76" t="s">
        <v>0</v>
      </c>
      <c r="B32" s="12"/>
      <c r="C32" s="12"/>
      <c r="D32" s="12"/>
      <c r="E32" s="23" t="s">
        <v>125</v>
      </c>
      <c r="F32" s="23"/>
      <c r="G32" s="234">
        <f>(+E30+L30)/2</f>
        <v>5.41</v>
      </c>
      <c r="H32" s="235">
        <f>(+F30+M30)/2</f>
        <v>0.19375000000000001</v>
      </c>
      <c r="K32" s="12"/>
      <c r="N32" s="12"/>
    </row>
    <row r="33" spans="1:14" ht="17">
      <c r="A33" s="76" t="s">
        <v>0</v>
      </c>
      <c r="B33" s="12"/>
      <c r="C33" s="12"/>
      <c r="D33" s="12"/>
      <c r="E33" s="12"/>
      <c r="F33" s="12"/>
      <c r="G33" s="12"/>
      <c r="H33" s="12"/>
      <c r="I33" s="12"/>
      <c r="J33" s="12"/>
      <c r="K33" s="12"/>
      <c r="L33" s="12"/>
      <c r="M33" s="12"/>
      <c r="N33" s="12"/>
    </row>
    <row r="34" spans="1:14" ht="17">
      <c r="A34" s="12"/>
      <c r="B34" s="12"/>
      <c r="C34" s="12"/>
      <c r="D34" s="12"/>
      <c r="E34" s="12"/>
      <c r="F34" s="12"/>
      <c r="G34" s="12"/>
      <c r="H34" s="12"/>
      <c r="I34" s="12"/>
      <c r="J34" s="12"/>
      <c r="K34" s="12"/>
      <c r="L34" s="12"/>
      <c r="M34" s="12"/>
      <c r="N34" s="12"/>
    </row>
    <row r="35" spans="1:14" ht="17">
      <c r="A35" s="12"/>
      <c r="B35" s="12"/>
      <c r="C35" s="12"/>
      <c r="D35" s="12"/>
      <c r="E35" s="12"/>
      <c r="F35" s="12"/>
      <c r="G35" s="12"/>
      <c r="H35" s="12"/>
      <c r="I35" s="12"/>
      <c r="J35" s="12"/>
      <c r="K35" s="12"/>
      <c r="L35" s="12"/>
      <c r="M35" s="12"/>
      <c r="N35" s="12"/>
    </row>
    <row r="36" spans="1:14" ht="17.5">
      <c r="A36" s="108" t="s">
        <v>363</v>
      </c>
    </row>
    <row r="37" spans="1:14" ht="17.5">
      <c r="A37" s="108" t="s">
        <v>364</v>
      </c>
    </row>
    <row r="38" spans="1:14" ht="17.5">
      <c r="A38" s="108" t="s">
        <v>365</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59"/>
  <sheetViews>
    <sheetView view="pageBreakPreview" zoomScale="60" zoomScaleNormal="80" workbookViewId="0">
      <selection activeCell="G60" sqref="G60"/>
    </sheetView>
  </sheetViews>
  <sheetFormatPr defaultRowHeight="14.5"/>
  <cols>
    <col min="1" max="1" width="53.81640625" customWidth="1"/>
    <col min="2" max="2" width="8" customWidth="1"/>
    <col min="3" max="3" width="12.26953125" bestFit="1" customWidth="1"/>
    <col min="4" max="4" width="20.1796875" customWidth="1"/>
    <col min="5" max="5" width="18.81640625" customWidth="1"/>
    <col min="6" max="6" width="19" customWidth="1"/>
    <col min="7" max="7" width="16.453125" customWidth="1"/>
    <col min="8" max="10" width="19.26953125" customWidth="1"/>
    <col min="11" max="12" width="21.54296875" customWidth="1"/>
    <col min="13" max="13" width="18.26953125" customWidth="1"/>
  </cols>
  <sheetData>
    <row r="1" spans="1:15" ht="25.5">
      <c r="A1" s="23" t="s">
        <v>1</v>
      </c>
      <c r="B1" s="23"/>
      <c r="C1" s="12"/>
      <c r="D1" s="12"/>
      <c r="E1" s="12"/>
      <c r="F1" s="12"/>
      <c r="G1" s="12"/>
      <c r="H1" s="12"/>
      <c r="I1" s="12"/>
      <c r="J1" s="12"/>
      <c r="K1" s="12"/>
      <c r="L1" s="12"/>
      <c r="M1" s="12"/>
      <c r="N1" s="12"/>
      <c r="O1" s="12"/>
    </row>
    <row r="2" spans="1:15" ht="17.5">
      <c r="A2" s="62" t="s">
        <v>9</v>
      </c>
      <c r="B2" s="62"/>
      <c r="C2" s="12"/>
      <c r="D2" s="12"/>
      <c r="E2" s="12"/>
      <c r="F2" s="12"/>
      <c r="G2" s="12"/>
      <c r="H2" s="12"/>
      <c r="I2" s="12"/>
      <c r="J2" s="12"/>
      <c r="K2" s="12"/>
      <c r="L2" s="12"/>
      <c r="M2" s="12"/>
      <c r="N2" s="12"/>
      <c r="O2" s="12"/>
    </row>
    <row r="3" spans="1:15" ht="17">
      <c r="A3" s="25" t="s">
        <v>480</v>
      </c>
      <c r="B3" s="43"/>
      <c r="C3" s="12"/>
      <c r="D3" s="12"/>
      <c r="E3" s="12"/>
      <c r="F3" s="12"/>
      <c r="G3" s="12"/>
      <c r="H3" s="12"/>
      <c r="I3" s="12"/>
      <c r="J3" s="12"/>
      <c r="K3" s="12"/>
      <c r="L3" s="12"/>
      <c r="M3" s="12"/>
      <c r="N3" s="12"/>
      <c r="O3" s="12"/>
    </row>
    <row r="4" spans="1:15" ht="17">
      <c r="A4" s="12"/>
      <c r="B4" s="12"/>
      <c r="C4" s="12"/>
      <c r="D4" s="12"/>
      <c r="E4" s="26" t="s">
        <v>0</v>
      </c>
      <c r="F4" s="12"/>
      <c r="G4" s="12"/>
      <c r="H4" s="12"/>
      <c r="I4" s="12"/>
      <c r="J4" s="12"/>
      <c r="K4" s="12"/>
      <c r="L4" s="12"/>
      <c r="M4" s="12"/>
      <c r="N4" s="12"/>
      <c r="O4" s="12"/>
    </row>
    <row r="5" spans="1:15" ht="18" thickBot="1">
      <c r="A5" s="62"/>
      <c r="B5" s="62"/>
      <c r="C5" s="12"/>
      <c r="D5" s="12"/>
      <c r="E5" s="12"/>
      <c r="F5" s="12"/>
      <c r="G5" s="12"/>
      <c r="H5" s="12"/>
      <c r="I5" s="12"/>
      <c r="J5" s="12"/>
      <c r="K5" s="12"/>
      <c r="L5" s="12"/>
      <c r="M5" s="12"/>
      <c r="N5" s="12"/>
      <c r="O5" s="12"/>
    </row>
    <row r="6" spans="1:15" ht="21.5" thickBot="1">
      <c r="A6" s="282" t="str">
        <f>+'S&amp;D'!A12</f>
        <v>Liquid Transportation Pipeline Carriers</v>
      </c>
      <c r="B6" s="285"/>
      <c r="C6" s="12"/>
      <c r="D6" s="12"/>
      <c r="E6" s="12"/>
      <c r="F6" s="12"/>
      <c r="G6" s="12"/>
      <c r="H6" s="12"/>
      <c r="I6" s="12"/>
      <c r="J6" s="12"/>
      <c r="K6" s="12"/>
      <c r="L6" s="12"/>
      <c r="M6" s="12"/>
      <c r="N6" s="12"/>
      <c r="O6" s="12"/>
    </row>
    <row r="7" spans="1:15" ht="18" thickBot="1">
      <c r="A7" s="62"/>
      <c r="B7" s="62"/>
      <c r="C7" s="28"/>
      <c r="D7" s="28"/>
      <c r="E7" s="28"/>
      <c r="F7" s="28"/>
      <c r="G7" s="28"/>
      <c r="H7" s="12"/>
      <c r="I7" s="28"/>
      <c r="J7" s="28"/>
      <c r="K7" s="28"/>
      <c r="L7" s="28"/>
      <c r="M7" s="28"/>
      <c r="N7" s="12"/>
      <c r="O7" s="12"/>
    </row>
    <row r="8" spans="1:15" ht="25.5">
      <c r="B8" s="30"/>
      <c r="C8" s="12"/>
      <c r="D8" s="12"/>
      <c r="E8" s="31" t="s">
        <v>235</v>
      </c>
      <c r="F8" s="12"/>
      <c r="G8" s="12"/>
      <c r="H8" s="12"/>
      <c r="I8" s="12"/>
      <c r="J8" s="12"/>
      <c r="K8" s="31" t="s">
        <v>236</v>
      </c>
      <c r="L8" s="12"/>
      <c r="M8" s="12"/>
      <c r="N8" s="12"/>
      <c r="O8" s="12"/>
    </row>
    <row r="9" spans="1:15" ht="21.5" thickBot="1">
      <c r="A9" s="30"/>
      <c r="B9" s="30"/>
      <c r="C9" s="28"/>
      <c r="D9" s="28"/>
      <c r="E9" s="36" t="s">
        <v>481</v>
      </c>
      <c r="F9" s="28"/>
      <c r="G9" s="28"/>
      <c r="H9" s="12"/>
      <c r="I9" s="28"/>
      <c r="J9" s="28"/>
      <c r="K9" s="36" t="s">
        <v>481</v>
      </c>
      <c r="L9" s="28"/>
      <c r="M9" s="28"/>
      <c r="N9" s="12"/>
      <c r="O9" s="12"/>
    </row>
    <row r="10" spans="1:15" ht="17.5" thickBot="1">
      <c r="A10" s="33" t="s">
        <v>0</v>
      </c>
      <c r="B10" s="33"/>
      <c r="C10" s="33" t="s">
        <v>0</v>
      </c>
      <c r="D10" s="33" t="s">
        <v>0</v>
      </c>
      <c r="E10" s="33" t="s">
        <v>0</v>
      </c>
      <c r="F10" s="33" t="s">
        <v>0</v>
      </c>
      <c r="G10" s="33" t="s">
        <v>0</v>
      </c>
      <c r="H10" s="12"/>
      <c r="I10" s="28"/>
      <c r="J10" s="28"/>
      <c r="K10" s="28"/>
      <c r="L10" s="28"/>
      <c r="M10" s="28"/>
      <c r="N10" s="12"/>
      <c r="O10" s="12"/>
    </row>
    <row r="11" spans="1:15" ht="17">
      <c r="A11" s="34" t="s">
        <v>0</v>
      </c>
      <c r="B11" s="34"/>
      <c r="C11" s="34" t="s">
        <v>3</v>
      </c>
      <c r="D11" s="34" t="s">
        <v>357</v>
      </c>
      <c r="E11" s="34" t="s">
        <v>359</v>
      </c>
      <c r="F11" s="34" t="s">
        <v>112</v>
      </c>
      <c r="G11" s="34" t="s">
        <v>26</v>
      </c>
      <c r="H11" s="12"/>
      <c r="I11" s="34" t="s">
        <v>3</v>
      </c>
      <c r="J11" s="34" t="s">
        <v>357</v>
      </c>
      <c r="K11" s="34" t="s">
        <v>359</v>
      </c>
      <c r="L11" s="34" t="s">
        <v>112</v>
      </c>
      <c r="M11" s="34" t="s">
        <v>26</v>
      </c>
      <c r="N11" s="12"/>
      <c r="O11" s="12"/>
    </row>
    <row r="12" spans="1:15" ht="17.5" thickBot="1">
      <c r="A12" s="36" t="s">
        <v>2</v>
      </c>
      <c r="B12" s="36"/>
      <c r="C12" s="36" t="s">
        <v>4</v>
      </c>
      <c r="D12" s="36" t="s">
        <v>27</v>
      </c>
      <c r="E12" s="36" t="s">
        <v>170</v>
      </c>
      <c r="F12" s="36" t="s">
        <v>28</v>
      </c>
      <c r="G12" s="36" t="s">
        <v>29</v>
      </c>
      <c r="H12" s="12"/>
      <c r="I12" s="36" t="s">
        <v>4</v>
      </c>
      <c r="J12" s="36" t="s">
        <v>27</v>
      </c>
      <c r="K12" s="36" t="s">
        <v>170</v>
      </c>
      <c r="L12" s="36" t="s">
        <v>28</v>
      </c>
      <c r="M12" s="36" t="s">
        <v>29</v>
      </c>
      <c r="N12" s="12"/>
      <c r="O12" s="12"/>
    </row>
    <row r="13" spans="1:15" ht="17">
      <c r="A13" s="38" t="s">
        <v>0</v>
      </c>
      <c r="B13" s="38"/>
      <c r="C13" s="38" t="s">
        <v>0</v>
      </c>
      <c r="D13" s="39" t="s">
        <v>114</v>
      </c>
      <c r="E13" s="77" t="s">
        <v>115</v>
      </c>
      <c r="F13" s="38" t="s">
        <v>0</v>
      </c>
      <c r="G13" s="38" t="s">
        <v>0</v>
      </c>
      <c r="H13" s="12"/>
      <c r="I13" s="38" t="s">
        <v>0</v>
      </c>
      <c r="J13" s="39" t="s">
        <v>114</v>
      </c>
      <c r="K13" s="77" t="s">
        <v>113</v>
      </c>
      <c r="L13" s="38" t="s">
        <v>0</v>
      </c>
      <c r="M13" s="38" t="s">
        <v>0</v>
      </c>
      <c r="N13" s="12"/>
      <c r="O13" s="12"/>
    </row>
    <row r="14" spans="1:15" ht="17">
      <c r="A14" s="34"/>
      <c r="B14" s="34"/>
      <c r="C14" s="34"/>
      <c r="D14" s="34"/>
      <c r="E14" s="34"/>
      <c r="F14" s="34"/>
      <c r="G14" s="34"/>
      <c r="H14" s="12"/>
      <c r="I14" s="34"/>
      <c r="J14" s="34"/>
      <c r="K14" s="34"/>
      <c r="L14" s="34"/>
      <c r="M14" s="34"/>
      <c r="N14" s="12"/>
      <c r="O14" s="12"/>
    </row>
    <row r="15" spans="1:15" ht="17">
      <c r="A15" s="12"/>
      <c r="B15" s="12"/>
      <c r="C15" s="12"/>
      <c r="D15" s="12"/>
      <c r="E15" s="12"/>
      <c r="F15" s="12"/>
      <c r="G15" s="12"/>
      <c r="H15" s="12"/>
      <c r="I15" s="12"/>
      <c r="J15" s="12"/>
      <c r="K15" s="12"/>
      <c r="L15" s="12"/>
      <c r="M15" s="12"/>
      <c r="N15" s="12"/>
      <c r="O15" s="12"/>
    </row>
    <row r="16" spans="1:15" ht="17.5">
      <c r="A16" s="62" t="str">
        <f>+'S&amp;D'!A22</f>
        <v>Energy Transfer LP</v>
      </c>
      <c r="B16" s="62"/>
      <c r="C16" s="91" t="str">
        <f>+'S&amp;D'!B22</f>
        <v>ET</v>
      </c>
      <c r="D16" s="59">
        <f>'S&amp;D'!G22</f>
        <v>13.8</v>
      </c>
      <c r="E16" s="61">
        <f>+Earnings!E16</f>
        <v>1.2</v>
      </c>
      <c r="F16" s="69">
        <f t="shared" ref="F16:F18" si="0">D16/E16</f>
        <v>11.500000000000002</v>
      </c>
      <c r="G16" s="56">
        <f t="shared" ref="G16:G18" si="1">1/F16</f>
        <v>8.6956521739130418E-2</v>
      </c>
      <c r="H16" s="12"/>
      <c r="I16" s="34" t="str">
        <f t="shared" ref="I16:I18" si="2">+C16</f>
        <v>ET</v>
      </c>
      <c r="J16" s="59">
        <f t="shared" ref="J16:J18" si="3">+D16</f>
        <v>13.8</v>
      </c>
      <c r="K16" s="61">
        <f>+Earnings!G16</f>
        <v>1.5</v>
      </c>
      <c r="L16" s="69">
        <f t="shared" ref="L16:L18" si="4">J16/K16</f>
        <v>9.2000000000000011</v>
      </c>
      <c r="M16" s="56">
        <f t="shared" ref="M16:M18" si="5">1/L16</f>
        <v>0.10869565217391303</v>
      </c>
      <c r="N16" s="12"/>
      <c r="O16" s="12"/>
    </row>
    <row r="17" spans="1:15" ht="17.5">
      <c r="A17" s="62" t="str">
        <f>+'S&amp;D'!A23</f>
        <v>Enterprise Products Partnership LP</v>
      </c>
      <c r="B17" s="62"/>
      <c r="C17" s="91" t="str">
        <f>+'S&amp;D'!B23</f>
        <v>EPD</v>
      </c>
      <c r="D17" s="59">
        <f>'S&amp;D'!G23</f>
        <v>26.35</v>
      </c>
      <c r="E17" s="61">
        <f>+Earnings!E17</f>
        <v>2.7</v>
      </c>
      <c r="F17" s="69">
        <f t="shared" si="0"/>
        <v>9.7592592592592595</v>
      </c>
      <c r="G17" s="56">
        <f t="shared" si="1"/>
        <v>0.10246679316888045</v>
      </c>
      <c r="H17" s="12"/>
      <c r="I17" s="34" t="str">
        <f t="shared" si="2"/>
        <v>EPD</v>
      </c>
      <c r="J17" s="59">
        <f t="shared" si="3"/>
        <v>26.35</v>
      </c>
      <c r="K17" s="61">
        <f>+Earnings!G17</f>
        <v>2.8</v>
      </c>
      <c r="L17" s="69">
        <f t="shared" si="4"/>
        <v>9.4107142857142865</v>
      </c>
      <c r="M17" s="56">
        <f t="shared" si="5"/>
        <v>0.10626185958254268</v>
      </c>
      <c r="N17" s="12"/>
      <c r="O17" s="12"/>
    </row>
    <row r="18" spans="1:15" ht="17.5">
      <c r="A18" s="62" t="str">
        <f>+'S&amp;D'!A24</f>
        <v>Hess Midstream LP</v>
      </c>
      <c r="B18" s="62"/>
      <c r="C18" s="91" t="str">
        <f>+'S&amp;D'!B24</f>
        <v>HESM</v>
      </c>
      <c r="D18" s="59">
        <f>'S&amp;D'!G24</f>
        <v>31.63</v>
      </c>
      <c r="E18" s="61">
        <f>+Earnings!E18</f>
        <v>2.7</v>
      </c>
      <c r="F18" s="69">
        <f t="shared" si="0"/>
        <v>11.714814814814813</v>
      </c>
      <c r="G18" s="56">
        <f t="shared" si="1"/>
        <v>8.5361998103066716E-2</v>
      </c>
      <c r="H18" s="12"/>
      <c r="I18" s="34" t="str">
        <f t="shared" si="2"/>
        <v>HESM</v>
      </c>
      <c r="J18" s="59">
        <f t="shared" si="3"/>
        <v>31.63</v>
      </c>
      <c r="K18" s="61">
        <f>+Earnings!G18</f>
        <v>3.05</v>
      </c>
      <c r="L18" s="69">
        <f t="shared" si="4"/>
        <v>10.370491803278689</v>
      </c>
      <c r="M18" s="56">
        <f t="shared" si="5"/>
        <v>9.642744230161239E-2</v>
      </c>
      <c r="N18" s="12"/>
      <c r="O18" s="12"/>
    </row>
    <row r="19" spans="1:15" ht="17.5">
      <c r="A19" s="62" t="str">
        <f>+'S&amp;D'!A25</f>
        <v>MPLX, LP</v>
      </c>
      <c r="B19" s="62"/>
      <c r="C19" s="91" t="str">
        <f>+'S&amp;D'!B25</f>
        <v>MPLX</v>
      </c>
      <c r="D19" s="59">
        <f>'S&amp;D'!G25</f>
        <v>36.72</v>
      </c>
      <c r="E19" s="61">
        <f>+Earnings!E19</f>
        <v>4.3</v>
      </c>
      <c r="F19" s="69">
        <f t="shared" ref="F19:F22" si="6">D19/E19</f>
        <v>8.5395348837209308</v>
      </c>
      <c r="G19" s="56">
        <f t="shared" ref="G19:G22" si="7">1/F19</f>
        <v>0.11710239651416121</v>
      </c>
      <c r="H19" s="12"/>
      <c r="I19" s="34" t="str">
        <f t="shared" ref="I19:I22" si="8">+C19</f>
        <v>MPLX</v>
      </c>
      <c r="J19" s="59">
        <f t="shared" ref="J19:J22" si="9">+D19</f>
        <v>36.72</v>
      </c>
      <c r="K19" s="61">
        <f>+Earnings!G19</f>
        <v>4.7</v>
      </c>
      <c r="L19" s="69">
        <f t="shared" ref="L19:L22" si="10">J19/K19</f>
        <v>7.8127659574468078</v>
      </c>
      <c r="M19" s="56">
        <f t="shared" ref="M19:M22" si="11">1/L19</f>
        <v>0.12799564270152505</v>
      </c>
      <c r="N19" s="12"/>
      <c r="O19" s="12"/>
    </row>
    <row r="20" spans="1:15" ht="17.5">
      <c r="A20" s="62" t="str">
        <f>+'S&amp;D'!A26</f>
        <v>NuStar Energy LP</v>
      </c>
      <c r="B20" s="62"/>
      <c r="C20" s="91" t="str">
        <f>+'S&amp;D'!B26</f>
        <v>NS</v>
      </c>
      <c r="D20" s="59">
        <f>'S&amp;D'!G26</f>
        <v>18.68</v>
      </c>
      <c r="E20" s="61">
        <f>+Earnings!E20</f>
        <v>1.1000000000000001</v>
      </c>
      <c r="F20" s="69">
        <f t="shared" si="6"/>
        <v>16.981818181818181</v>
      </c>
      <c r="G20" s="56">
        <f t="shared" si="7"/>
        <v>5.8886509635974311E-2</v>
      </c>
      <c r="H20" s="12"/>
      <c r="I20" s="34" t="str">
        <f t="shared" si="8"/>
        <v>NS</v>
      </c>
      <c r="J20" s="59">
        <f t="shared" si="9"/>
        <v>18.68</v>
      </c>
      <c r="K20" s="61">
        <f>+Earnings!G20</f>
        <v>1.3</v>
      </c>
      <c r="L20" s="69">
        <f t="shared" si="10"/>
        <v>14.369230769230768</v>
      </c>
      <c r="M20" s="56">
        <f t="shared" si="11"/>
        <v>6.9593147751606008E-2</v>
      </c>
      <c r="N20" s="12"/>
      <c r="O20" s="12"/>
    </row>
    <row r="21" spans="1:15" ht="17.5">
      <c r="A21" s="62" t="str">
        <f>+'S&amp;D'!A27</f>
        <v>Plains All American Pipeline LP</v>
      </c>
      <c r="B21" s="62"/>
      <c r="C21" s="91" t="str">
        <f>+'S&amp;D'!B27</f>
        <v>PAA</v>
      </c>
      <c r="D21" s="59">
        <f>'S&amp;D'!G27</f>
        <v>15.15</v>
      </c>
      <c r="E21" s="61">
        <f>+Earnings!E21</f>
        <v>1.45</v>
      </c>
      <c r="F21" s="69">
        <f t="shared" si="6"/>
        <v>10.448275862068966</v>
      </c>
      <c r="G21" s="56">
        <f t="shared" si="7"/>
        <v>9.5709570957095702E-2</v>
      </c>
      <c r="H21" s="12"/>
      <c r="I21" s="34" t="str">
        <f t="shared" si="8"/>
        <v>PAA</v>
      </c>
      <c r="J21" s="59">
        <f t="shared" si="9"/>
        <v>15.15</v>
      </c>
      <c r="K21" s="61">
        <f>+Earnings!G21</f>
        <v>1.55</v>
      </c>
      <c r="L21" s="69">
        <f t="shared" si="10"/>
        <v>9.7741935483870961</v>
      </c>
      <c r="M21" s="56">
        <f t="shared" si="11"/>
        <v>0.10231023102310231</v>
      </c>
      <c r="N21" s="12"/>
      <c r="O21" s="12"/>
    </row>
    <row r="22" spans="1:15" ht="17.5">
      <c r="A22" s="62" t="str">
        <f>+'S&amp;D'!A28</f>
        <v>Western Midstream Partners LP</v>
      </c>
      <c r="B22" s="62"/>
      <c r="C22" s="91" t="str">
        <f>+'S&amp;D'!B28</f>
        <v>WES</v>
      </c>
      <c r="D22" s="59">
        <f>'S&amp;D'!G28</f>
        <v>29.26</v>
      </c>
      <c r="E22" s="61">
        <f>+Earnings!E22</f>
        <v>2.85</v>
      </c>
      <c r="F22" s="69">
        <f t="shared" si="6"/>
        <v>10.266666666666667</v>
      </c>
      <c r="G22" s="56">
        <f t="shared" si="7"/>
        <v>9.7402597402597393E-2</v>
      </c>
      <c r="H22" s="12"/>
      <c r="I22" s="34" t="str">
        <f t="shared" si="8"/>
        <v>WES</v>
      </c>
      <c r="J22" s="59">
        <f t="shared" si="9"/>
        <v>29.26</v>
      </c>
      <c r="K22" s="61">
        <f>+Earnings!G22</f>
        <v>3</v>
      </c>
      <c r="L22" s="69">
        <f t="shared" si="10"/>
        <v>9.7533333333333339</v>
      </c>
      <c r="M22" s="56">
        <f t="shared" si="11"/>
        <v>0.10252904989747094</v>
      </c>
      <c r="N22" s="12"/>
      <c r="O22" s="12"/>
    </row>
    <row r="23" spans="1:15" ht="18" thickBot="1">
      <c r="A23" s="12"/>
      <c r="B23" s="12"/>
      <c r="C23" s="70"/>
      <c r="D23" s="70"/>
      <c r="E23" s="70"/>
      <c r="F23" s="70"/>
      <c r="G23" s="70"/>
      <c r="H23" s="12"/>
      <c r="I23" s="70"/>
      <c r="J23" s="64" t="s">
        <v>0</v>
      </c>
      <c r="K23" s="70"/>
      <c r="L23" s="70"/>
      <c r="M23" s="70"/>
      <c r="N23" s="12"/>
      <c r="O23" s="12"/>
    </row>
    <row r="24" spans="1:15" ht="17.5" thickTop="1">
      <c r="A24" s="12"/>
      <c r="B24" s="12"/>
      <c r="C24" s="14" t="s">
        <v>45</v>
      </c>
      <c r="D24" s="71">
        <f>MAX(D16:D22)</f>
        <v>36.72</v>
      </c>
      <c r="E24" s="71">
        <f t="shared" ref="E24:G24" si="12">MAX(E16:E22)</f>
        <v>4.3</v>
      </c>
      <c r="F24" s="71">
        <f t="shared" si="12"/>
        <v>16.981818181818181</v>
      </c>
      <c r="G24" s="339">
        <f t="shared" si="12"/>
        <v>0.11710239651416121</v>
      </c>
      <c r="H24" s="12"/>
      <c r="I24" s="14" t="s">
        <v>45</v>
      </c>
      <c r="J24" s="71">
        <f t="shared" ref="J24:M24" si="13">MAX(J16:J22)</f>
        <v>36.72</v>
      </c>
      <c r="K24" s="71">
        <f t="shared" si="13"/>
        <v>4.7</v>
      </c>
      <c r="L24" s="71">
        <f t="shared" si="13"/>
        <v>14.369230769230768</v>
      </c>
      <c r="M24" s="339">
        <f t="shared" si="13"/>
        <v>0.12799564270152505</v>
      </c>
      <c r="N24" s="12"/>
      <c r="O24" s="12"/>
    </row>
    <row r="25" spans="1:15" ht="17">
      <c r="A25" s="12"/>
      <c r="B25" s="12"/>
      <c r="C25" s="373" t="s">
        <v>46</v>
      </c>
      <c r="D25" s="378">
        <f>MIN(D16:D22)</f>
        <v>13.8</v>
      </c>
      <c r="E25" s="378">
        <f t="shared" ref="E25:G25" si="14">MIN(E16:E22)</f>
        <v>1.1000000000000001</v>
      </c>
      <c r="F25" s="378">
        <f t="shared" si="14"/>
        <v>8.5395348837209308</v>
      </c>
      <c r="G25" s="370">
        <f t="shared" si="14"/>
        <v>5.8886509635974311E-2</v>
      </c>
      <c r="H25" s="12"/>
      <c r="I25" s="373" t="s">
        <v>46</v>
      </c>
      <c r="J25" s="378">
        <f t="shared" ref="J25:M25" si="15">MIN(J16:J22)</f>
        <v>13.8</v>
      </c>
      <c r="K25" s="378">
        <f t="shared" si="15"/>
        <v>1.3</v>
      </c>
      <c r="L25" s="378">
        <f t="shared" si="15"/>
        <v>7.8127659574468078</v>
      </c>
      <c r="M25" s="370">
        <f t="shared" si="15"/>
        <v>6.9593147751606008E-2</v>
      </c>
      <c r="N25" s="12"/>
      <c r="O25" s="12"/>
    </row>
    <row r="26" spans="1:15" ht="17">
      <c r="A26" s="12"/>
      <c r="B26" s="12"/>
      <c r="C26" s="14" t="s">
        <v>18</v>
      </c>
      <c r="D26" s="72">
        <f>MEDIAN(D16:D22)</f>
        <v>26.35</v>
      </c>
      <c r="E26" s="73">
        <f>MEDIAN(E16:E22)</f>
        <v>2.7</v>
      </c>
      <c r="F26" s="21">
        <f>MEDIAN(F16:F22)</f>
        <v>10.448275862068966</v>
      </c>
      <c r="G26" s="56">
        <f>MEDIAN(G16:G22)</f>
        <v>9.5709570957095702E-2</v>
      </c>
      <c r="H26" s="12"/>
      <c r="I26" s="14" t="s">
        <v>18</v>
      </c>
      <c r="J26" s="72">
        <f>MEDIAN(J16:J22)</f>
        <v>26.35</v>
      </c>
      <c r="K26" s="73">
        <f>MEDIAN(K16:K22)</f>
        <v>2.8</v>
      </c>
      <c r="L26" s="21">
        <f>MEDIAN(L16:L22)</f>
        <v>9.7533333333333339</v>
      </c>
      <c r="M26" s="56">
        <f>MEDIAN(M16:M22)</f>
        <v>0.10252904989747094</v>
      </c>
      <c r="N26" s="12"/>
      <c r="O26" s="12"/>
    </row>
    <row r="27" spans="1:15" ht="17">
      <c r="A27" s="12"/>
      <c r="B27" s="12"/>
      <c r="C27" s="14" t="s">
        <v>440</v>
      </c>
      <c r="D27" s="21">
        <f>AVERAGE(D16:D22)</f>
        <v>24.512857142857143</v>
      </c>
      <c r="E27" s="17">
        <f>AVERAGE(E16:E22)</f>
        <v>2.3285714285714287</v>
      </c>
      <c r="F27" s="21">
        <f>AVERAGE(F16:F22)</f>
        <v>11.315767095478403</v>
      </c>
      <c r="G27" s="74">
        <f>AVERAGE(G16:G22)</f>
        <v>9.1983769645843746E-2</v>
      </c>
      <c r="H27" s="12"/>
      <c r="I27" s="14" t="s">
        <v>440</v>
      </c>
      <c r="J27" s="21">
        <f>AVERAGE(J16:J22)</f>
        <v>24.512857142857143</v>
      </c>
      <c r="K27" s="17">
        <f>AVERAGE(K16:K22)</f>
        <v>2.5571428571428574</v>
      </c>
      <c r="L27" s="21">
        <f>AVERAGE(L16:L22)</f>
        <v>10.098675671055855</v>
      </c>
      <c r="M27" s="74">
        <f>AVERAGE(M16:M22)</f>
        <v>0.10197328934739605</v>
      </c>
      <c r="N27" s="12"/>
      <c r="O27" s="12"/>
    </row>
    <row r="28" spans="1:15" ht="17">
      <c r="A28" s="12"/>
      <c r="B28" s="12"/>
      <c r="C28" s="12"/>
      <c r="D28" s="12"/>
      <c r="E28" s="12"/>
      <c r="F28" s="12"/>
      <c r="G28" s="12"/>
      <c r="H28" s="12"/>
      <c r="I28" s="12"/>
      <c r="J28" s="12"/>
      <c r="K28" s="12"/>
      <c r="L28" s="12"/>
      <c r="M28" s="12"/>
      <c r="N28" s="12"/>
      <c r="O28" s="12"/>
    </row>
    <row r="29" spans="1:15" ht="25.5">
      <c r="A29" s="12"/>
      <c r="B29" s="12"/>
      <c r="C29" s="12"/>
      <c r="D29" s="12"/>
      <c r="E29" s="78" t="s">
        <v>74</v>
      </c>
      <c r="F29" s="342">
        <v>11.32</v>
      </c>
      <c r="G29" s="340">
        <v>9.1999999999999998E-2</v>
      </c>
      <c r="H29" s="12"/>
      <c r="I29" s="12"/>
      <c r="J29" s="12"/>
      <c r="K29" s="78" t="s">
        <v>74</v>
      </c>
      <c r="L29" s="343">
        <v>10.1</v>
      </c>
      <c r="M29" s="340">
        <v>0.10199999999999999</v>
      </c>
      <c r="N29" s="12"/>
      <c r="O29" s="12"/>
    </row>
    <row r="30" spans="1:15" ht="17">
      <c r="A30" s="12"/>
      <c r="B30" s="12"/>
      <c r="C30" s="12"/>
      <c r="D30" s="12"/>
      <c r="E30" s="12"/>
      <c r="F30" s="12"/>
      <c r="K30" s="12"/>
      <c r="L30" s="12"/>
      <c r="M30" s="12"/>
      <c r="N30" s="12"/>
      <c r="O30" s="12"/>
    </row>
    <row r="31" spans="1:15" ht="30" customHeight="1">
      <c r="A31" s="12"/>
      <c r="B31" s="12"/>
      <c r="C31" s="12"/>
      <c r="D31" s="12"/>
      <c r="E31" s="12"/>
      <c r="F31" s="12"/>
      <c r="K31" s="12"/>
      <c r="L31" s="12"/>
      <c r="M31" s="12"/>
      <c r="N31" s="12"/>
      <c r="O31" s="12"/>
    </row>
    <row r="32" spans="1:15" ht="17.5" thickBot="1">
      <c r="A32" s="12"/>
      <c r="B32" s="12"/>
      <c r="C32" s="12"/>
      <c r="D32" s="12"/>
      <c r="E32" s="12"/>
      <c r="F32" s="12"/>
      <c r="K32" s="12"/>
      <c r="L32" s="12"/>
      <c r="M32" s="12"/>
      <c r="N32" s="12"/>
      <c r="O32" s="12"/>
    </row>
    <row r="33" spans="1:15" ht="30.75" customHeight="1" thickBot="1">
      <c r="A33" s="76" t="s">
        <v>0</v>
      </c>
      <c r="B33" s="76"/>
      <c r="C33" s="12"/>
      <c r="D33" s="12"/>
      <c r="E33" s="12"/>
      <c r="G33" s="23" t="s">
        <v>125</v>
      </c>
      <c r="H33" s="12"/>
      <c r="I33" s="236">
        <f>(+F29+L29)/2</f>
        <v>10.71</v>
      </c>
      <c r="J33" s="237">
        <f>(+G29+M29)/2</f>
        <v>9.7000000000000003E-2</v>
      </c>
      <c r="N33" s="12"/>
      <c r="O33" s="12"/>
    </row>
    <row r="34" spans="1:15" ht="17">
      <c r="A34" s="76" t="s">
        <v>0</v>
      </c>
      <c r="B34" s="76"/>
      <c r="C34" s="12"/>
      <c r="D34" s="12"/>
      <c r="E34" s="12"/>
      <c r="F34" s="12"/>
      <c r="G34" s="12"/>
      <c r="H34" s="12"/>
      <c r="I34" s="12"/>
      <c r="J34" s="12"/>
      <c r="K34" s="12"/>
      <c r="L34" s="12"/>
      <c r="M34" s="12"/>
      <c r="N34" s="12"/>
      <c r="O34" s="12"/>
    </row>
    <row r="35" spans="1:15" ht="17">
      <c r="A35" s="12"/>
      <c r="B35" s="12"/>
      <c r="C35" s="12"/>
      <c r="D35" s="12"/>
      <c r="E35" s="12"/>
      <c r="F35" s="12"/>
      <c r="G35" s="12"/>
      <c r="H35" s="12"/>
      <c r="I35" s="12"/>
      <c r="J35" s="12"/>
      <c r="K35" s="12"/>
      <c r="L35" s="12"/>
      <c r="M35" s="12"/>
      <c r="N35" s="12"/>
      <c r="O35" s="12"/>
    </row>
    <row r="36" spans="1:15" ht="17">
      <c r="A36" s="12"/>
      <c r="B36" s="12"/>
      <c r="C36" s="12"/>
      <c r="D36" s="12"/>
      <c r="E36" s="12"/>
      <c r="F36" s="12"/>
      <c r="G36" s="12"/>
      <c r="H36" s="12"/>
      <c r="I36" s="12"/>
      <c r="J36" s="12"/>
      <c r="K36" s="12"/>
      <c r="L36" s="12"/>
      <c r="M36" s="12"/>
      <c r="N36" s="12"/>
      <c r="O36" s="12"/>
    </row>
    <row r="37" spans="1:15" ht="15" thickBot="1">
      <c r="B37" s="159"/>
      <c r="C37" s="159"/>
      <c r="D37" s="159"/>
      <c r="E37" s="159"/>
      <c r="F37" s="159"/>
      <c r="G37" s="159"/>
    </row>
    <row r="38" spans="1:15" ht="25.5">
      <c r="C38" s="12"/>
      <c r="D38" s="12"/>
      <c r="E38" s="31" t="s">
        <v>242</v>
      </c>
      <c r="F38" s="12"/>
      <c r="G38" s="12"/>
    </row>
    <row r="39" spans="1:15" ht="21.5" thickBot="1">
      <c r="A39" s="30"/>
      <c r="B39" s="159"/>
      <c r="C39" s="28"/>
      <c r="D39" s="28"/>
      <c r="E39" s="36" t="s">
        <v>481</v>
      </c>
      <c r="F39" s="28"/>
      <c r="G39" s="28"/>
    </row>
    <row r="40" spans="1:15" ht="15.5" thickBot="1">
      <c r="A40" s="33" t="s">
        <v>0</v>
      </c>
      <c r="B40" s="159"/>
      <c r="C40" s="33" t="s">
        <v>0</v>
      </c>
      <c r="D40" s="33" t="s">
        <v>0</v>
      </c>
      <c r="E40" s="33" t="s">
        <v>0</v>
      </c>
      <c r="F40" s="33" t="s">
        <v>0</v>
      </c>
      <c r="G40" s="33" t="s">
        <v>0</v>
      </c>
    </row>
    <row r="41" spans="1:15" ht="17">
      <c r="A41" s="34" t="s">
        <v>0</v>
      </c>
      <c r="C41" s="34" t="s">
        <v>3</v>
      </c>
      <c r="D41" s="34" t="s">
        <v>357</v>
      </c>
      <c r="E41" s="34" t="s">
        <v>359</v>
      </c>
      <c r="F41" s="34" t="s">
        <v>112</v>
      </c>
      <c r="G41" s="34" t="s">
        <v>26</v>
      </c>
    </row>
    <row r="42" spans="1:15" ht="17.5" thickBot="1">
      <c r="A42" s="36" t="s">
        <v>2</v>
      </c>
      <c r="B42" s="159"/>
      <c r="C42" s="36" t="s">
        <v>4</v>
      </c>
      <c r="D42" s="36" t="s">
        <v>27</v>
      </c>
      <c r="E42" s="36" t="s">
        <v>170</v>
      </c>
      <c r="F42" s="36" t="s">
        <v>28</v>
      </c>
      <c r="G42" s="36" t="s">
        <v>29</v>
      </c>
    </row>
    <row r="43" spans="1:15" ht="16">
      <c r="A43" s="38" t="s">
        <v>0</v>
      </c>
      <c r="C43" s="38" t="s">
        <v>0</v>
      </c>
      <c r="D43" s="39" t="s">
        <v>114</v>
      </c>
      <c r="E43" s="77" t="s">
        <v>243</v>
      </c>
      <c r="F43" s="38" t="s">
        <v>0</v>
      </c>
      <c r="G43" s="38" t="s">
        <v>0</v>
      </c>
    </row>
    <row r="44" spans="1:15" ht="17">
      <c r="A44" s="34"/>
      <c r="C44" s="34"/>
      <c r="D44" s="34"/>
      <c r="E44" s="34"/>
      <c r="F44" s="34"/>
      <c r="G44" s="34"/>
    </row>
    <row r="45" spans="1:15" ht="17">
      <c r="A45" s="12"/>
      <c r="C45" s="12"/>
      <c r="D45" s="12"/>
      <c r="E45" s="12"/>
      <c r="F45" s="12"/>
      <c r="G45" s="12"/>
    </row>
    <row r="46" spans="1:15" ht="17.5">
      <c r="A46" s="62" t="str">
        <f>+'S&amp;D'!A22</f>
        <v>Energy Transfer LP</v>
      </c>
      <c r="C46" s="91" t="str">
        <f>+'S&amp;D'!B22</f>
        <v>ET</v>
      </c>
      <c r="D46" s="59">
        <f>'S&amp;D'!G22</f>
        <v>13.8</v>
      </c>
      <c r="E46" s="61">
        <f>+Earnings!I16</f>
        <v>2.25</v>
      </c>
      <c r="F46" s="69">
        <f t="shared" ref="F46:F52" si="16">D46/E46</f>
        <v>6.1333333333333337</v>
      </c>
      <c r="G46" s="56">
        <f t="shared" ref="G46:G52" si="17">1/F46</f>
        <v>0.16304347826086957</v>
      </c>
    </row>
    <row r="47" spans="1:15" ht="17.5">
      <c r="A47" s="62" t="str">
        <f>+'S&amp;D'!A23</f>
        <v>Enterprise Products Partnership LP</v>
      </c>
      <c r="C47" s="91" t="str">
        <f>+'S&amp;D'!B23</f>
        <v>EPD</v>
      </c>
      <c r="D47" s="59">
        <f>'S&amp;D'!G23</f>
        <v>26.35</v>
      </c>
      <c r="E47" s="61">
        <f>+Earnings!I17</f>
        <v>3.35</v>
      </c>
      <c r="F47" s="69">
        <f t="shared" si="16"/>
        <v>7.8656716417910451</v>
      </c>
      <c r="G47" s="56">
        <f t="shared" si="17"/>
        <v>0.12713472485768501</v>
      </c>
    </row>
    <row r="48" spans="1:15" ht="17.5">
      <c r="A48" s="62" t="str">
        <f>+'S&amp;D'!A24</f>
        <v>Hess Midstream LP</v>
      </c>
      <c r="C48" s="91" t="str">
        <f>+'S&amp;D'!B24</f>
        <v>HESM</v>
      </c>
      <c r="D48" s="59">
        <f>'S&amp;D'!G24</f>
        <v>31.63</v>
      </c>
      <c r="E48" s="61">
        <f>+Earnings!I18</f>
        <v>3.6</v>
      </c>
      <c r="F48" s="69">
        <f t="shared" si="16"/>
        <v>8.7861111111111114</v>
      </c>
      <c r="G48" s="56">
        <f t="shared" si="17"/>
        <v>0.1138159974707556</v>
      </c>
    </row>
    <row r="49" spans="1:7" ht="17.5">
      <c r="A49" s="62" t="str">
        <f>+'S&amp;D'!A25</f>
        <v>MPLX, LP</v>
      </c>
      <c r="C49" s="91" t="str">
        <f>+'S&amp;D'!B25</f>
        <v>MPLX</v>
      </c>
      <c r="D49" s="59">
        <f>'S&amp;D'!G25</f>
        <v>36.72</v>
      </c>
      <c r="E49" s="61">
        <f>+Earnings!I19</f>
        <v>5.0999999999999996</v>
      </c>
      <c r="F49" s="69">
        <f t="shared" si="16"/>
        <v>7.2</v>
      </c>
      <c r="G49" s="56">
        <f t="shared" si="17"/>
        <v>0.1388888888888889</v>
      </c>
    </row>
    <row r="50" spans="1:7" ht="17.5">
      <c r="A50" s="62" t="str">
        <f>+'S&amp;D'!A26</f>
        <v>NuStar Energy LP</v>
      </c>
      <c r="C50" s="91" t="str">
        <f>+'S&amp;D'!B26</f>
        <v>NS</v>
      </c>
      <c r="D50" s="59">
        <f>'S&amp;D'!G26</f>
        <v>18.68</v>
      </c>
      <c r="E50" s="61">
        <f>+Earnings!I20</f>
        <v>2.4</v>
      </c>
      <c r="F50" s="69">
        <f t="shared" si="16"/>
        <v>7.7833333333333332</v>
      </c>
      <c r="G50" s="56">
        <f t="shared" si="17"/>
        <v>0.1284796573875803</v>
      </c>
    </row>
    <row r="51" spans="1:7" ht="17.5">
      <c r="A51" s="62" t="str">
        <f>+'S&amp;D'!A27</f>
        <v>Plains All American Pipeline LP</v>
      </c>
      <c r="C51" s="91" t="str">
        <f>+'S&amp;D'!B27</f>
        <v>PAA</v>
      </c>
      <c r="D51" s="59">
        <f>'S&amp;D'!G27</f>
        <v>15.15</v>
      </c>
      <c r="E51" s="61">
        <f>+Earnings!I21</f>
        <v>2.5499999999999998</v>
      </c>
      <c r="F51" s="69">
        <f t="shared" si="16"/>
        <v>5.9411764705882355</v>
      </c>
      <c r="G51" s="56">
        <f t="shared" si="17"/>
        <v>0.1683168316831683</v>
      </c>
    </row>
    <row r="52" spans="1:7" ht="17.5">
      <c r="A52" s="62" t="str">
        <f>+'S&amp;D'!A28</f>
        <v>Western Midstream Partners LP</v>
      </c>
      <c r="C52" s="91" t="str">
        <f>+'S&amp;D'!B28</f>
        <v>WES</v>
      </c>
      <c r="D52" s="59">
        <f>'S&amp;D'!G28</f>
        <v>29.26</v>
      </c>
      <c r="E52" s="61">
        <f>+Earnings!I22</f>
        <v>3.3</v>
      </c>
      <c r="F52" s="69">
        <f t="shared" si="16"/>
        <v>8.8666666666666671</v>
      </c>
      <c r="G52" s="56">
        <f t="shared" si="17"/>
        <v>0.11278195488721804</v>
      </c>
    </row>
    <row r="53" spans="1:7" ht="17.5" thickBot="1">
      <c r="A53" s="12"/>
      <c r="D53" s="70"/>
      <c r="E53" s="70"/>
      <c r="F53" s="70"/>
      <c r="G53" s="70"/>
    </row>
    <row r="54" spans="1:7" ht="17.5" thickTop="1">
      <c r="A54" s="12"/>
      <c r="D54" s="14" t="s">
        <v>45</v>
      </c>
      <c r="E54" s="71">
        <f t="shared" ref="E54:G54" si="18">MAX(E46:E52)</f>
        <v>5.0999999999999996</v>
      </c>
      <c r="F54" s="71">
        <f t="shared" si="18"/>
        <v>8.8666666666666671</v>
      </c>
      <c r="G54" s="339">
        <f t="shared" si="18"/>
        <v>0.1683168316831683</v>
      </c>
    </row>
    <row r="55" spans="1:7" ht="17">
      <c r="A55" s="12"/>
      <c r="D55" s="14" t="s">
        <v>46</v>
      </c>
      <c r="E55" s="378">
        <f t="shared" ref="E55:G55" si="19">MIN(E46:E52)</f>
        <v>2.25</v>
      </c>
      <c r="F55" s="378">
        <f t="shared" si="19"/>
        <v>5.9411764705882355</v>
      </c>
      <c r="G55" s="370">
        <f t="shared" si="19"/>
        <v>0.11278195488721804</v>
      </c>
    </row>
    <row r="56" spans="1:7" ht="17">
      <c r="A56" s="12"/>
      <c r="D56" s="14" t="s">
        <v>18</v>
      </c>
      <c r="E56" s="73">
        <f>MEDIAN(E46:E52)</f>
        <v>3.3</v>
      </c>
      <c r="F56" s="21">
        <f>MEDIAN(F46:F52)</f>
        <v>7.7833333333333332</v>
      </c>
      <c r="G56" s="56">
        <f>MEDIAN(G46:G52)</f>
        <v>0.1284796573875803</v>
      </c>
    </row>
    <row r="57" spans="1:7" ht="17">
      <c r="A57" s="12"/>
      <c r="D57" s="14" t="s">
        <v>440</v>
      </c>
      <c r="E57" s="17">
        <f>AVERAGE(E46:E52)</f>
        <v>3.2214285714285715</v>
      </c>
      <c r="F57" s="21">
        <f>AVERAGE(F46:F52)</f>
        <v>7.5108989366891032</v>
      </c>
      <c r="G57" s="74">
        <f>AVERAGE(G46:G52)</f>
        <v>0.13606593334802367</v>
      </c>
    </row>
    <row r="58" spans="1:7" ht="17">
      <c r="A58" s="12"/>
      <c r="C58" s="12"/>
      <c r="D58" s="12"/>
      <c r="E58" s="12"/>
      <c r="F58" s="12"/>
      <c r="G58" s="12"/>
    </row>
    <row r="59" spans="1:7" ht="25.5">
      <c r="A59" s="12"/>
      <c r="C59" s="12"/>
      <c r="D59" s="12"/>
      <c r="E59" s="78" t="s">
        <v>74</v>
      </c>
      <c r="F59" s="343">
        <v>7.51</v>
      </c>
      <c r="G59" s="340">
        <v>0.1361</v>
      </c>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FF0000"/>
  </sheetPr>
  <dimension ref="A1:K118"/>
  <sheetViews>
    <sheetView view="pageBreakPreview" topLeftCell="A76" zoomScale="60" zoomScaleNormal="80" workbookViewId="0">
      <selection activeCell="F108" sqref="F108"/>
    </sheetView>
  </sheetViews>
  <sheetFormatPr defaultRowHeight="14.5"/>
  <cols>
    <col min="1" max="1" width="62.453125" customWidth="1"/>
    <col min="2" max="2" width="25.7265625" customWidth="1"/>
    <col min="3" max="3" width="30.26953125" customWidth="1"/>
    <col min="4" max="5" width="30.54296875" customWidth="1"/>
    <col min="6" max="6" width="28.1796875" customWidth="1"/>
    <col min="7" max="7" width="32.7265625" customWidth="1"/>
    <col min="8" max="8" width="37.7265625" customWidth="1"/>
    <col min="9" max="9" width="50.453125" customWidth="1"/>
    <col min="10" max="10" width="13.81640625" customWidth="1"/>
    <col min="11" max="12" width="14.1796875" bestFit="1" customWidth="1"/>
  </cols>
  <sheetData>
    <row r="1" spans="1:11" ht="25.5">
      <c r="A1" s="23" t="s">
        <v>1</v>
      </c>
      <c r="C1" s="23"/>
      <c r="D1" s="23"/>
      <c r="E1" s="12"/>
      <c r="F1" s="12"/>
      <c r="G1" s="12"/>
      <c r="H1" s="12"/>
      <c r="I1" s="12"/>
      <c r="J1" s="12"/>
      <c r="K1" s="12"/>
    </row>
    <row r="2" spans="1:11" ht="17.5">
      <c r="A2" s="24" t="s">
        <v>9</v>
      </c>
      <c r="C2" s="24"/>
      <c r="D2" s="24"/>
      <c r="E2" s="12"/>
      <c r="F2" s="12"/>
      <c r="G2" s="12"/>
      <c r="H2" s="12"/>
      <c r="I2" s="12"/>
      <c r="J2" s="12"/>
      <c r="K2" s="12"/>
    </row>
    <row r="3" spans="1:11" ht="17">
      <c r="A3" s="25" t="s">
        <v>480</v>
      </c>
      <c r="C3" s="25"/>
      <c r="D3" s="25"/>
      <c r="E3" s="12"/>
      <c r="F3" s="12"/>
      <c r="G3" s="12"/>
      <c r="H3" s="12"/>
      <c r="I3" s="12"/>
      <c r="J3" s="12"/>
      <c r="K3" s="12"/>
    </row>
    <row r="4" spans="1:11" ht="17">
      <c r="B4" s="25"/>
      <c r="C4" s="25"/>
      <c r="D4" s="25"/>
      <c r="E4" s="12"/>
      <c r="F4" s="12"/>
      <c r="G4" s="12"/>
      <c r="H4" s="12"/>
      <c r="I4" s="12"/>
      <c r="J4" s="12"/>
      <c r="K4" s="12"/>
    </row>
    <row r="5" spans="1:11" ht="17">
      <c r="B5" s="12"/>
      <c r="C5" s="12"/>
      <c r="D5" s="12"/>
      <c r="E5" s="12"/>
      <c r="F5" s="12"/>
      <c r="G5" s="12"/>
      <c r="H5" s="12"/>
      <c r="I5" s="26" t="s">
        <v>0</v>
      </c>
      <c r="J5" s="26"/>
      <c r="K5" s="12"/>
    </row>
    <row r="6" spans="1:11" ht="17.5" thickBot="1">
      <c r="B6" s="12"/>
      <c r="C6" s="12"/>
      <c r="D6" s="28"/>
      <c r="E6" s="28"/>
      <c r="F6" s="159"/>
      <c r="H6" s="12"/>
      <c r="I6" s="12"/>
      <c r="J6" s="12"/>
      <c r="K6" s="12"/>
    </row>
    <row r="7" spans="1:11" ht="26" thickBot="1">
      <c r="A7" s="27" t="str">
        <f>+'S&amp;D'!A12</f>
        <v>Liquid Transportation Pipeline Carriers</v>
      </c>
      <c r="C7" s="30"/>
      <c r="D7" s="30"/>
      <c r="E7" s="31" t="s">
        <v>255</v>
      </c>
      <c r="H7" s="12"/>
      <c r="I7" s="12"/>
      <c r="J7" s="12"/>
      <c r="K7" s="12"/>
    </row>
    <row r="8" spans="1:11" ht="21.5" thickBot="1">
      <c r="B8" s="30"/>
      <c r="C8" s="30"/>
      <c r="D8" s="160"/>
      <c r="E8" s="36" t="s">
        <v>481</v>
      </c>
      <c r="F8" s="159"/>
      <c r="H8" s="12"/>
      <c r="I8" s="12"/>
      <c r="J8" s="12"/>
      <c r="K8" s="12"/>
    </row>
    <row r="9" spans="1:11" ht="21">
      <c r="B9" s="30"/>
      <c r="C9" s="30"/>
      <c r="D9" s="30"/>
      <c r="E9" s="34"/>
      <c r="H9" s="12"/>
      <c r="I9" s="12"/>
      <c r="J9" s="12"/>
      <c r="K9" s="12"/>
    </row>
    <row r="10" spans="1:11" ht="21.5" thickBot="1">
      <c r="A10" s="160"/>
      <c r="B10" s="30"/>
      <c r="I10" s="12"/>
      <c r="J10" s="12"/>
      <c r="K10" s="12"/>
    </row>
    <row r="11" spans="1:11" ht="22.5" customHeight="1" thickBot="1">
      <c r="A11" s="172" t="s">
        <v>250</v>
      </c>
      <c r="B11" s="30"/>
      <c r="I11" s="12"/>
      <c r="J11" s="12"/>
      <c r="K11" s="12"/>
    </row>
    <row r="12" spans="1:11" ht="26.25" customHeight="1" thickBot="1">
      <c r="A12" s="171" t="s">
        <v>0</v>
      </c>
      <c r="B12" s="12"/>
      <c r="C12" s="12"/>
      <c r="D12" s="12"/>
      <c r="E12" s="12"/>
      <c r="F12" s="12"/>
      <c r="G12" s="12"/>
      <c r="H12" s="12"/>
      <c r="I12" s="12"/>
      <c r="J12" s="12"/>
      <c r="K12" s="12"/>
    </row>
    <row r="13" spans="1:11" ht="66.75" customHeight="1" thickBot="1">
      <c r="A13" s="241" t="s">
        <v>274</v>
      </c>
      <c r="B13" s="166" t="s">
        <v>318</v>
      </c>
      <c r="C13" s="166" t="s">
        <v>284</v>
      </c>
      <c r="D13" s="166" t="s">
        <v>283</v>
      </c>
      <c r="I13" s="12"/>
      <c r="J13" s="12"/>
      <c r="K13" s="12"/>
    </row>
    <row r="14" spans="1:11" ht="17">
      <c r="A14" s="161"/>
      <c r="B14" s="227"/>
      <c r="C14" s="227"/>
      <c r="D14" s="227"/>
      <c r="I14" s="12"/>
      <c r="J14" s="12"/>
      <c r="K14" s="12"/>
    </row>
    <row r="15" spans="1:11" ht="21">
      <c r="A15" s="170" t="str">
        <f>+A7</f>
        <v>Liquid Transportation Pipeline Carriers</v>
      </c>
      <c r="B15" s="253">
        <v>7.5999999999999998E-2</v>
      </c>
      <c r="C15" s="253">
        <f>+'Dividends '!K26</f>
        <v>5.6819667993607152E-2</v>
      </c>
      <c r="D15" s="253">
        <f>+Earnings!K26</f>
        <v>6.1603296823896252E-2</v>
      </c>
      <c r="I15" s="12"/>
      <c r="J15" s="12"/>
      <c r="K15" s="12"/>
    </row>
    <row r="16" spans="1:11" ht="21.5" thickBot="1">
      <c r="A16" s="163" t="s">
        <v>0</v>
      </c>
      <c r="B16" s="228" t="s">
        <v>0</v>
      </c>
      <c r="C16" s="280">
        <f>+'Dividends '!K27</f>
        <v>9.5834873625944755E-2</v>
      </c>
      <c r="D16" s="280">
        <f>+Earnings!K27</f>
        <v>0.10432522516849581</v>
      </c>
      <c r="I16" s="12"/>
      <c r="J16" s="12"/>
      <c r="K16" s="12"/>
    </row>
    <row r="17" spans="1:11" ht="21">
      <c r="A17" s="239"/>
      <c r="B17" s="240"/>
      <c r="I17" s="12"/>
      <c r="J17" s="12"/>
      <c r="K17" s="12"/>
    </row>
    <row r="18" spans="1:11" ht="17">
      <c r="A18" s="12"/>
      <c r="B18" s="12"/>
      <c r="C18" s="12"/>
      <c r="D18" s="12"/>
      <c r="E18" s="12"/>
      <c r="F18" s="12"/>
      <c r="G18" s="12"/>
      <c r="H18" s="12"/>
      <c r="I18" s="12"/>
      <c r="J18" s="12"/>
      <c r="K18" s="12"/>
    </row>
    <row r="19" spans="1:11" ht="17.5" thickBot="1">
      <c r="A19" s="12"/>
      <c r="B19" s="12"/>
      <c r="C19" s="12"/>
      <c r="D19" s="12"/>
      <c r="E19" s="12"/>
      <c r="F19" s="12"/>
      <c r="G19" s="12"/>
      <c r="H19" s="12"/>
      <c r="I19" s="12"/>
      <c r="J19" s="12"/>
      <c r="K19" s="12"/>
    </row>
    <row r="20" spans="1:11" ht="21.5" thickBot="1">
      <c r="A20" s="172" t="s">
        <v>273</v>
      </c>
      <c r="B20" s="30"/>
      <c r="I20" s="12"/>
      <c r="J20" s="12"/>
      <c r="K20" s="12"/>
    </row>
    <row r="21" spans="1:11" ht="18" thickBot="1">
      <c r="A21" s="171" t="s">
        <v>0</v>
      </c>
      <c r="B21" s="12"/>
      <c r="C21" s="12"/>
      <c r="D21" s="12"/>
      <c r="E21" s="12"/>
      <c r="F21" s="12"/>
      <c r="G21" s="12"/>
      <c r="H21" s="12"/>
      <c r="I21" s="12"/>
      <c r="J21" s="12"/>
      <c r="K21" s="12"/>
    </row>
    <row r="22" spans="1:11" ht="64.5" customHeight="1" thickBot="1">
      <c r="A22" s="241" t="s">
        <v>275</v>
      </c>
      <c r="B22" s="166" t="s">
        <v>317</v>
      </c>
      <c r="C22" s="165" t="s">
        <v>229</v>
      </c>
      <c r="D22" s="166" t="s">
        <v>230</v>
      </c>
      <c r="E22" s="166" t="s">
        <v>231</v>
      </c>
      <c r="F22" s="166" t="s">
        <v>318</v>
      </c>
      <c r="G22" s="281" t="s">
        <v>18</v>
      </c>
      <c r="H22" s="281" t="s">
        <v>19</v>
      </c>
      <c r="I22" s="12"/>
      <c r="J22" s="12"/>
      <c r="K22" s="12"/>
    </row>
    <row r="23" spans="1:11" ht="17">
      <c r="A23" s="161"/>
      <c r="B23" s="227"/>
      <c r="C23" s="114"/>
      <c r="D23" s="227"/>
      <c r="E23" s="114"/>
      <c r="F23" s="227"/>
      <c r="G23" s="393"/>
      <c r="H23" s="174"/>
      <c r="I23" s="12"/>
      <c r="J23" s="12"/>
      <c r="K23" s="12"/>
    </row>
    <row r="24" spans="1:11" ht="21">
      <c r="A24" s="170" t="str">
        <f>+A7</f>
        <v>Liquid Transportation Pipeline Carriers</v>
      </c>
      <c r="B24" s="253">
        <v>0.21</v>
      </c>
      <c r="C24" s="391">
        <v>0.08</v>
      </c>
      <c r="D24" s="253">
        <v>8.5000000000000006E-2</v>
      </c>
      <c r="E24" s="391">
        <v>6.6000000000000003E-2</v>
      </c>
      <c r="F24" s="253" t="s">
        <v>516</v>
      </c>
      <c r="G24" s="394">
        <f>MEDIAN(B24:F24)</f>
        <v>8.2500000000000004E-2</v>
      </c>
      <c r="H24" s="276">
        <f t="shared" ref="H24" si="0">AVERAGE(B24:F24)</f>
        <v>0.11025</v>
      </c>
      <c r="I24" s="12"/>
      <c r="J24" s="12"/>
      <c r="K24" s="12"/>
    </row>
    <row r="25" spans="1:11" ht="21.5" thickBot="1">
      <c r="A25" s="387" t="s">
        <v>0</v>
      </c>
      <c r="B25" s="228" t="s">
        <v>0</v>
      </c>
      <c r="C25" s="392" t="s">
        <v>0</v>
      </c>
      <c r="D25" s="228" t="s">
        <v>0</v>
      </c>
      <c r="E25" s="392" t="s">
        <v>0</v>
      </c>
      <c r="F25" s="228" t="s">
        <v>0</v>
      </c>
      <c r="G25" s="349"/>
      <c r="H25" s="173"/>
      <c r="I25" s="12"/>
      <c r="J25" s="12"/>
      <c r="K25" s="12"/>
    </row>
    <row r="26" spans="1:11" ht="17">
      <c r="A26" s="12"/>
      <c r="B26" s="12"/>
      <c r="C26" s="12"/>
      <c r="D26" s="12"/>
      <c r="E26" s="12"/>
      <c r="F26" s="12"/>
      <c r="G26" s="12"/>
      <c r="H26" s="12"/>
      <c r="I26" s="12"/>
      <c r="J26" s="12"/>
      <c r="K26" s="12"/>
    </row>
    <row r="27" spans="1:11" ht="17">
      <c r="A27" s="12"/>
      <c r="B27" s="12"/>
      <c r="C27" s="12"/>
      <c r="D27" s="12"/>
      <c r="E27" s="12"/>
      <c r="F27" s="12"/>
      <c r="G27" s="12"/>
      <c r="H27" s="12"/>
      <c r="I27" s="12"/>
      <c r="J27" s="12"/>
      <c r="K27" s="12"/>
    </row>
    <row r="28" spans="1:11" ht="17">
      <c r="A28" s="12"/>
      <c r="B28" s="12" t="s">
        <v>0</v>
      </c>
      <c r="C28" s="12"/>
      <c r="D28" s="12"/>
      <c r="E28" s="12"/>
      <c r="F28" s="12"/>
      <c r="G28" s="12"/>
      <c r="H28" s="12"/>
      <c r="I28" s="12"/>
      <c r="J28" s="12"/>
      <c r="K28" s="12"/>
    </row>
    <row r="29" spans="1:11" ht="17.5" thickBot="1">
      <c r="A29" s="12"/>
      <c r="B29" s="12"/>
      <c r="C29" s="12"/>
      <c r="D29" s="12"/>
      <c r="E29" s="12"/>
      <c r="F29" s="12"/>
      <c r="G29" s="12"/>
      <c r="H29" s="12"/>
      <c r="I29" s="12"/>
      <c r="J29" s="12"/>
      <c r="K29" s="12"/>
    </row>
    <row r="30" spans="1:11" ht="18.75" customHeight="1" thickBot="1">
      <c r="A30" s="172" t="s">
        <v>252</v>
      </c>
      <c r="B30" s="12"/>
      <c r="C30" s="12"/>
      <c r="D30" s="12"/>
      <c r="E30" s="12"/>
      <c r="F30" s="12"/>
      <c r="G30" s="12"/>
      <c r="H30" s="12"/>
      <c r="I30" s="12"/>
      <c r="J30" s="12"/>
      <c r="K30" s="12"/>
    </row>
    <row r="31" spans="1:11" ht="15" customHeight="1">
      <c r="A31" s="12"/>
      <c r="B31" s="12"/>
      <c r="C31" s="12"/>
      <c r="D31" s="12"/>
      <c r="E31" s="12"/>
      <c r="F31" s="12"/>
      <c r="G31" s="12"/>
      <c r="H31" s="12"/>
      <c r="I31" s="12"/>
      <c r="J31" s="12"/>
      <c r="K31" s="12"/>
    </row>
    <row r="32" spans="1:11" ht="15" customHeight="1">
      <c r="A32" s="12"/>
      <c r="B32" s="12"/>
      <c r="C32" s="12"/>
      <c r="D32" s="12"/>
      <c r="E32" s="12"/>
      <c r="F32" s="12"/>
      <c r="G32" s="12"/>
      <c r="H32" s="12"/>
      <c r="I32" s="12"/>
      <c r="J32" s="12"/>
      <c r="K32" s="12"/>
    </row>
    <row r="33" spans="1:11" ht="23.25" customHeight="1">
      <c r="A33" s="436">
        <v>1.84E-2</v>
      </c>
      <c r="B33" s="30" t="s">
        <v>483</v>
      </c>
      <c r="C33" s="12"/>
      <c r="E33" s="215" t="s">
        <v>0</v>
      </c>
      <c r="F33" s="12"/>
      <c r="G33" s="12"/>
      <c r="H33" s="12"/>
      <c r="I33" s="12"/>
      <c r="J33" s="12"/>
      <c r="K33" s="12"/>
    </row>
    <row r="34" spans="1:11" ht="23.25" customHeight="1">
      <c r="A34" s="230"/>
      <c r="B34" s="12" t="s">
        <v>484</v>
      </c>
      <c r="C34" s="12"/>
      <c r="D34" s="12"/>
      <c r="E34" s="12"/>
      <c r="F34" s="12"/>
      <c r="G34" s="12"/>
      <c r="H34" s="12"/>
      <c r="I34" s="12"/>
      <c r="J34" s="12"/>
      <c r="K34" s="12"/>
    </row>
    <row r="35" spans="1:11" ht="23.25" customHeight="1">
      <c r="A35" s="230"/>
      <c r="B35" s="456" t="s">
        <v>298</v>
      </c>
      <c r="C35" s="12"/>
      <c r="D35" s="12"/>
      <c r="E35" s="12"/>
      <c r="F35" s="12"/>
      <c r="G35" s="12"/>
      <c r="H35" s="12"/>
      <c r="I35" s="12"/>
      <c r="J35" s="12"/>
      <c r="K35" s="12"/>
    </row>
    <row r="36" spans="1:11" ht="23.25" customHeight="1">
      <c r="A36" s="396">
        <v>1.7999999999999999E-2</v>
      </c>
      <c r="B36" s="30" t="s">
        <v>253</v>
      </c>
      <c r="C36" s="12"/>
      <c r="D36" s="12"/>
      <c r="E36" s="12"/>
      <c r="F36" s="12"/>
      <c r="G36" s="12"/>
      <c r="H36" s="12"/>
      <c r="I36" s="12"/>
      <c r="J36" s="12"/>
      <c r="K36" s="12"/>
    </row>
    <row r="37" spans="1:11" ht="23.25" customHeight="1">
      <c r="A37" s="229"/>
      <c r="B37" s="231" t="s">
        <v>485</v>
      </c>
      <c r="C37" s="12"/>
      <c r="D37" s="12"/>
      <c r="E37" s="12"/>
      <c r="F37" s="12"/>
      <c r="G37" s="12"/>
      <c r="H37" s="12"/>
      <c r="I37" s="12"/>
      <c r="J37" s="12"/>
      <c r="K37" s="12"/>
    </row>
    <row r="38" spans="1:11" ht="23.25" customHeight="1">
      <c r="A38" s="229"/>
      <c r="B38" s="456" t="s">
        <v>486</v>
      </c>
      <c r="C38" s="12"/>
      <c r="D38" s="12"/>
      <c r="E38" s="12"/>
      <c r="F38" s="12"/>
      <c r="G38" s="12"/>
      <c r="H38" s="12"/>
      <c r="I38" s="12"/>
      <c r="J38" s="12"/>
      <c r="K38" s="12"/>
    </row>
    <row r="39" spans="1:11" ht="23.25" customHeight="1">
      <c r="A39" s="396" t="s">
        <v>487</v>
      </c>
      <c r="B39" s="30" t="s">
        <v>254</v>
      </c>
      <c r="C39" s="12"/>
      <c r="D39" s="12"/>
      <c r="E39" s="12"/>
      <c r="F39" s="12"/>
      <c r="G39" s="12"/>
      <c r="H39" s="12"/>
      <c r="I39" s="12"/>
      <c r="J39" s="12"/>
      <c r="K39" s="12"/>
    </row>
    <row r="40" spans="1:11" ht="23.25" customHeight="1">
      <c r="A40" s="229"/>
      <c r="B40" s="135" t="s">
        <v>488</v>
      </c>
      <c r="C40" s="12"/>
      <c r="D40" s="12"/>
      <c r="E40" s="12"/>
      <c r="F40" s="12"/>
      <c r="G40" s="12"/>
      <c r="H40" s="12"/>
      <c r="I40" s="12"/>
      <c r="J40" s="12"/>
      <c r="K40" s="12"/>
    </row>
    <row r="41" spans="1:11" ht="23.25" customHeight="1">
      <c r="A41" s="229"/>
      <c r="B41" s="456" t="s">
        <v>316</v>
      </c>
      <c r="C41" s="12"/>
      <c r="D41" s="12"/>
      <c r="E41" s="12"/>
      <c r="F41" s="12"/>
      <c r="G41" s="12"/>
      <c r="H41" s="12"/>
      <c r="I41" s="12"/>
      <c r="J41" s="12"/>
      <c r="K41" s="12"/>
    </row>
    <row r="42" spans="1:11" ht="23.25" customHeight="1">
      <c r="A42" s="436">
        <v>1.9E-2</v>
      </c>
      <c r="B42" s="30" t="s">
        <v>472</v>
      </c>
      <c r="C42" s="12"/>
      <c r="D42" s="12"/>
      <c r="E42" s="12"/>
      <c r="F42" s="12"/>
      <c r="G42" s="12"/>
      <c r="H42" s="12"/>
      <c r="I42" s="12"/>
      <c r="J42" s="12"/>
      <c r="K42" s="12"/>
    </row>
    <row r="43" spans="1:11" ht="23.25" customHeight="1">
      <c r="A43" s="229"/>
      <c r="B43" s="12" t="s">
        <v>473</v>
      </c>
      <c r="C43" s="12"/>
      <c r="D43" s="12"/>
      <c r="E43" s="12"/>
      <c r="F43" s="12"/>
      <c r="G43" s="12"/>
      <c r="H43" s="12"/>
      <c r="I43" s="12"/>
      <c r="J43" s="12"/>
      <c r="K43" s="12"/>
    </row>
    <row r="44" spans="1:11" ht="23.25" customHeight="1">
      <c r="A44" s="229"/>
      <c r="B44" s="456" t="s">
        <v>315</v>
      </c>
      <c r="C44" s="12"/>
      <c r="D44" s="12"/>
      <c r="E44" s="12"/>
      <c r="F44" s="12"/>
      <c r="G44" s="12"/>
      <c r="H44" s="12"/>
      <c r="I44" s="12"/>
      <c r="J44" s="12"/>
      <c r="K44" s="12"/>
    </row>
    <row r="45" spans="1:11" ht="23.25" customHeight="1">
      <c r="A45" s="396"/>
      <c r="B45" s="30"/>
      <c r="C45" s="12"/>
      <c r="D45" s="12"/>
      <c r="E45" s="12"/>
      <c r="F45" s="12"/>
      <c r="G45" s="12"/>
      <c r="H45" s="12"/>
      <c r="I45" s="12"/>
      <c r="J45" s="12"/>
      <c r="K45" s="12"/>
    </row>
    <row r="46" spans="1:11" ht="23.25" customHeight="1">
      <c r="A46" s="442" t="s">
        <v>489</v>
      </c>
      <c r="B46" s="443" t="s">
        <v>490</v>
      </c>
      <c r="C46" s="12"/>
      <c r="D46" s="12"/>
      <c r="E46" s="12"/>
      <c r="F46" s="12"/>
      <c r="G46" s="12"/>
      <c r="H46" s="12"/>
      <c r="I46" s="12"/>
      <c r="J46" s="12"/>
      <c r="K46" s="12"/>
    </row>
    <row r="47" spans="1:11" ht="23.25" customHeight="1">
      <c r="A47" s="442" t="s">
        <v>491</v>
      </c>
      <c r="B47" s="456" t="s">
        <v>492</v>
      </c>
      <c r="C47" s="12"/>
      <c r="D47" s="12"/>
      <c r="E47" s="12"/>
      <c r="F47" s="12"/>
      <c r="G47" s="12"/>
      <c r="H47" s="12"/>
      <c r="I47" s="12"/>
      <c r="J47" s="12"/>
      <c r="K47" s="12"/>
    </row>
    <row r="48" spans="1:11" ht="23.25" customHeight="1">
      <c r="A48" s="229" t="s">
        <v>0</v>
      </c>
      <c r="C48" s="12"/>
      <c r="D48" s="12"/>
      <c r="E48" s="12"/>
      <c r="F48" s="12"/>
      <c r="G48" s="12"/>
      <c r="H48" s="12"/>
      <c r="I48" s="12"/>
      <c r="J48" s="12"/>
      <c r="K48" s="12"/>
    </row>
    <row r="49" spans="1:11" ht="18" customHeight="1">
      <c r="A49" s="395" t="s">
        <v>267</v>
      </c>
      <c r="C49" s="12"/>
      <c r="D49" s="12"/>
      <c r="E49" s="12"/>
      <c r="F49" s="12"/>
      <c r="G49" s="12"/>
      <c r="H49" s="12"/>
      <c r="I49" s="12"/>
      <c r="J49" s="12"/>
      <c r="K49" s="12"/>
    </row>
    <row r="50" spans="1:11" ht="18" customHeight="1">
      <c r="A50" s="30" t="s">
        <v>268</v>
      </c>
      <c r="B50" s="12"/>
      <c r="C50" s="12"/>
      <c r="D50" s="12"/>
      <c r="E50" s="12"/>
      <c r="H50" s="12"/>
      <c r="I50" s="12"/>
      <c r="J50" s="12"/>
      <c r="K50" s="12"/>
    </row>
    <row r="51" spans="1:11" ht="15" customHeight="1">
      <c r="A51" s="456" t="s">
        <v>269</v>
      </c>
      <c r="B51" s="12"/>
      <c r="C51" s="12"/>
      <c r="D51" s="12"/>
      <c r="E51" s="12"/>
      <c r="F51" s="12"/>
      <c r="G51" s="12"/>
      <c r="H51" s="12"/>
      <c r="I51" s="12"/>
      <c r="J51" s="12"/>
      <c r="K51" s="12"/>
    </row>
    <row r="52" spans="1:11" ht="15" customHeight="1">
      <c r="A52" s="156"/>
      <c r="B52" s="12"/>
      <c r="C52" s="12"/>
      <c r="D52" s="12"/>
      <c r="E52" s="12"/>
      <c r="F52" s="12"/>
      <c r="G52" s="12" t="s">
        <v>0</v>
      </c>
      <c r="H52" s="12" t="s">
        <v>0</v>
      </c>
      <c r="I52" s="12"/>
      <c r="J52" s="12"/>
      <c r="K52" s="12"/>
    </row>
    <row r="53" spans="1:11" ht="15" customHeight="1">
      <c r="A53" s="12"/>
      <c r="B53" s="12"/>
      <c r="C53" s="12"/>
      <c r="D53" s="12"/>
      <c r="E53" s="12"/>
      <c r="F53" s="12"/>
      <c r="G53" s="12" t="s">
        <v>0</v>
      </c>
      <c r="H53" s="12"/>
      <c r="I53" s="12"/>
      <c r="J53" s="12"/>
      <c r="K53" s="12"/>
    </row>
    <row r="54" spans="1:11" ht="15.75" customHeight="1" thickBot="1">
      <c r="A54" s="12"/>
      <c r="B54" s="12"/>
      <c r="C54" s="12"/>
      <c r="D54" s="12"/>
      <c r="E54" s="12"/>
      <c r="F54" s="12"/>
      <c r="G54" s="12" t="s">
        <v>0</v>
      </c>
      <c r="H54" s="12"/>
      <c r="I54" s="12"/>
      <c r="J54" s="12"/>
      <c r="K54" s="12"/>
    </row>
    <row r="55" spans="1:11" ht="18.75" customHeight="1" thickBot="1">
      <c r="A55" s="172" t="s">
        <v>251</v>
      </c>
      <c r="B55" s="43" t="s">
        <v>424</v>
      </c>
      <c r="C55" s="12"/>
      <c r="D55" s="12"/>
      <c r="E55" s="12"/>
      <c r="F55" s="12"/>
      <c r="G55" s="12"/>
      <c r="H55" s="12"/>
      <c r="I55" s="459" t="s">
        <v>517</v>
      </c>
      <c r="J55" s="12"/>
      <c r="K55" s="12"/>
    </row>
    <row r="56" spans="1:11" ht="15" customHeight="1">
      <c r="A56" s="12"/>
      <c r="B56" s="12"/>
      <c r="C56" s="12"/>
      <c r="D56" s="12"/>
      <c r="E56" s="12"/>
      <c r="F56" s="12"/>
      <c r="G56" s="444" t="s">
        <v>493</v>
      </c>
      <c r="H56" s="445" t="s">
        <v>494</v>
      </c>
      <c r="I56" s="460">
        <v>1.76</v>
      </c>
      <c r="J56" s="12"/>
      <c r="K56" s="12"/>
    </row>
    <row r="57" spans="1:11" ht="23.25" customHeight="1">
      <c r="A57" s="396">
        <v>2.2100000000000002E-2</v>
      </c>
      <c r="B57" s="30" t="s">
        <v>425</v>
      </c>
      <c r="C57" s="12"/>
      <c r="E57" s="12"/>
      <c r="G57" s="446" t="s">
        <v>495</v>
      </c>
      <c r="H57" s="447" t="s">
        <v>496</v>
      </c>
      <c r="I57" s="460">
        <v>1.74</v>
      </c>
      <c r="J57" s="12"/>
      <c r="K57" s="12"/>
    </row>
    <row r="58" spans="1:11" ht="23.25" customHeight="1">
      <c r="A58" s="396">
        <v>2.41E-2</v>
      </c>
      <c r="B58" s="30" t="s">
        <v>426</v>
      </c>
      <c r="C58" s="12"/>
      <c r="E58" s="12"/>
      <c r="G58" s="446" t="s">
        <v>497</v>
      </c>
      <c r="H58" s="447" t="s">
        <v>498</v>
      </c>
      <c r="I58" s="460">
        <v>1.84</v>
      </c>
      <c r="J58" s="12"/>
      <c r="K58" s="12"/>
    </row>
    <row r="59" spans="1:11" ht="23.25" customHeight="1">
      <c r="A59" s="396">
        <v>2.1700000000000001E-2</v>
      </c>
      <c r="B59" s="30" t="s">
        <v>427</v>
      </c>
      <c r="C59" s="12"/>
      <c r="D59" s="12"/>
      <c r="E59" s="12"/>
      <c r="G59" s="448" t="s">
        <v>499</v>
      </c>
      <c r="H59" s="449" t="s">
        <v>500</v>
      </c>
      <c r="I59" s="461">
        <v>1.91</v>
      </c>
      <c r="J59" s="12"/>
      <c r="K59" s="12"/>
    </row>
    <row r="60" spans="1:11" ht="23.25" customHeight="1">
      <c r="A60" s="396"/>
      <c r="B60" s="30"/>
      <c r="C60" s="12"/>
      <c r="D60" s="12"/>
      <c r="E60" s="12"/>
      <c r="G60" s="14"/>
      <c r="H60" s="157"/>
      <c r="I60" s="12"/>
      <c r="J60" s="12"/>
      <c r="K60" s="12"/>
    </row>
    <row r="61" spans="1:11" ht="18.75" customHeight="1">
      <c r="A61" s="397" t="s">
        <v>474</v>
      </c>
      <c r="B61" s="30"/>
      <c r="C61" s="12"/>
      <c r="D61" s="12"/>
      <c r="E61" s="12"/>
      <c r="F61" s="388"/>
      <c r="G61" s="87"/>
      <c r="H61" s="12"/>
      <c r="I61" s="12"/>
      <c r="J61" s="12"/>
      <c r="K61" s="12"/>
    </row>
    <row r="62" spans="1:11" ht="23.25" customHeight="1">
      <c r="A62" s="396"/>
      <c r="B62" s="30"/>
      <c r="C62" s="12"/>
      <c r="D62" s="12"/>
      <c r="E62" s="12"/>
      <c r="F62" s="388"/>
      <c r="G62" s="87"/>
      <c r="H62" s="12"/>
      <c r="I62" s="12"/>
      <c r="J62" s="12"/>
      <c r="K62" s="12"/>
    </row>
    <row r="63" spans="1:11" ht="23.25" customHeight="1">
      <c r="A63" s="396">
        <v>2.3E-2</v>
      </c>
      <c r="B63" s="30" t="s">
        <v>259</v>
      </c>
      <c r="C63" s="12"/>
      <c r="D63" s="12"/>
      <c r="E63" s="12"/>
      <c r="F63" s="12"/>
      <c r="G63" s="12"/>
      <c r="H63" s="12"/>
      <c r="I63" s="12"/>
      <c r="J63" s="12"/>
      <c r="K63" s="12"/>
    </row>
    <row r="64" spans="1:11" ht="23.25" customHeight="1">
      <c r="A64" s="396">
        <v>2.2599999999999999E-2</v>
      </c>
      <c r="B64" s="30" t="s">
        <v>260</v>
      </c>
      <c r="C64" s="12"/>
      <c r="D64" s="12"/>
      <c r="E64" s="12"/>
      <c r="F64" s="12"/>
      <c r="G64" s="12"/>
      <c r="H64" s="12"/>
      <c r="I64" s="12"/>
      <c r="J64" s="12"/>
      <c r="K64" s="12"/>
    </row>
    <row r="65" spans="1:11" ht="23.25" customHeight="1">
      <c r="A65" s="396">
        <v>2.24E-2</v>
      </c>
      <c r="B65" s="30" t="s">
        <v>261</v>
      </c>
      <c r="C65" s="12"/>
      <c r="D65" s="12"/>
      <c r="E65" s="12"/>
      <c r="F65" s="12"/>
      <c r="G65" s="12"/>
      <c r="H65" s="12"/>
      <c r="I65" s="12"/>
      <c r="J65" s="12"/>
      <c r="K65" s="12"/>
    </row>
    <row r="66" spans="1:11" ht="23.25" customHeight="1">
      <c r="A66" s="396">
        <v>2.1999999999999999E-2</v>
      </c>
      <c r="B66" s="30" t="s">
        <v>475</v>
      </c>
      <c r="C66" s="12"/>
      <c r="D66" s="12"/>
      <c r="E66" s="12"/>
      <c r="F66" s="12"/>
      <c r="G66" s="12"/>
      <c r="H66" s="12"/>
      <c r="I66" s="12"/>
      <c r="J66" s="12"/>
      <c r="K66" s="12"/>
    </row>
    <row r="67" spans="1:11" ht="23.25" customHeight="1">
      <c r="A67" s="396">
        <v>0.02</v>
      </c>
      <c r="B67" s="30" t="s">
        <v>257</v>
      </c>
      <c r="C67" s="12"/>
      <c r="D67" s="12"/>
      <c r="E67" s="12"/>
      <c r="F67" s="12"/>
      <c r="G67" s="12"/>
      <c r="H67" s="12"/>
      <c r="I67" s="12"/>
      <c r="J67" s="12"/>
      <c r="K67" s="12"/>
    </row>
    <row r="68" spans="1:11" ht="27" customHeight="1">
      <c r="B68" s="12" t="s">
        <v>0</v>
      </c>
      <c r="C68" s="12"/>
      <c r="D68" s="12"/>
      <c r="E68" s="12"/>
      <c r="F68" s="12"/>
      <c r="G68" s="12"/>
      <c r="H68" s="12"/>
      <c r="I68" s="12"/>
      <c r="J68" s="12"/>
      <c r="K68" s="12"/>
    </row>
    <row r="69" spans="1:11" ht="15" customHeight="1">
      <c r="A69" s="12"/>
      <c r="B69" s="12"/>
      <c r="C69" s="12"/>
      <c r="D69" s="12"/>
      <c r="E69" s="12"/>
      <c r="F69" s="12"/>
      <c r="G69" s="12"/>
      <c r="H69" s="12"/>
      <c r="I69" s="12"/>
      <c r="J69" s="12"/>
      <c r="K69" s="12"/>
    </row>
    <row r="70" spans="1:11" ht="15.75" customHeight="1" thickBot="1">
      <c r="B70" s="12"/>
      <c r="C70" s="12"/>
      <c r="D70" s="28"/>
      <c r="E70" s="28"/>
      <c r="F70" s="28"/>
      <c r="G70" s="12"/>
      <c r="H70" s="12"/>
      <c r="I70" s="12"/>
      <c r="J70" s="12"/>
      <c r="K70" s="12"/>
    </row>
    <row r="71" spans="1:11" ht="20.25" customHeight="1">
      <c r="B71" s="30"/>
      <c r="C71" s="30"/>
      <c r="D71" s="12"/>
      <c r="E71" s="31" t="s">
        <v>213</v>
      </c>
      <c r="F71" s="12"/>
      <c r="G71" s="12"/>
      <c r="H71" s="12"/>
      <c r="I71" s="12"/>
      <c r="J71" s="12"/>
      <c r="K71" s="12"/>
    </row>
    <row r="72" spans="1:11" ht="18.75" customHeight="1" thickBot="1">
      <c r="A72" s="159"/>
      <c r="B72" s="30"/>
      <c r="C72" s="30"/>
      <c r="D72" s="28"/>
      <c r="E72" s="36" t="s">
        <v>481</v>
      </c>
      <c r="F72" s="28"/>
      <c r="G72" s="12"/>
      <c r="H72" s="12"/>
      <c r="I72" s="12"/>
      <c r="J72" s="12"/>
      <c r="K72" s="12"/>
    </row>
    <row r="73" spans="1:11" ht="18.75" customHeight="1" thickBot="1">
      <c r="A73" s="158" t="s">
        <v>214</v>
      </c>
      <c r="B73" s="30"/>
      <c r="C73" s="30"/>
      <c r="D73" s="34"/>
      <c r="E73" s="155"/>
      <c r="F73" s="12"/>
      <c r="G73" s="12"/>
      <c r="H73" s="12"/>
      <c r="I73" s="12"/>
      <c r="J73" s="12"/>
      <c r="K73" s="12"/>
    </row>
    <row r="74" spans="1:11" ht="15" customHeight="1">
      <c r="A74" s="38" t="s">
        <v>0</v>
      </c>
      <c r="B74" s="38"/>
      <c r="C74" s="38"/>
      <c r="D74" s="40" t="s">
        <v>0</v>
      </c>
      <c r="E74" s="40" t="s">
        <v>0</v>
      </c>
      <c r="F74" s="40" t="s">
        <v>0</v>
      </c>
      <c r="G74" s="40"/>
      <c r="H74" s="12"/>
      <c r="I74" s="12"/>
    </row>
    <row r="75" spans="1:11" ht="15" customHeight="1">
      <c r="A75" s="34" t="s">
        <v>0</v>
      </c>
      <c r="B75" s="34"/>
      <c r="C75" s="34"/>
      <c r="D75" s="193" t="s">
        <v>79</v>
      </c>
      <c r="E75" s="193" t="s">
        <v>256</v>
      </c>
      <c r="F75" s="193" t="s">
        <v>128</v>
      </c>
      <c r="G75" s="277"/>
      <c r="H75" s="12"/>
      <c r="I75" s="12"/>
    </row>
    <row r="76" spans="1:11" ht="15" customHeight="1">
      <c r="A76" s="132" t="s">
        <v>126</v>
      </c>
      <c r="B76" s="132"/>
      <c r="C76" s="132"/>
      <c r="D76" s="194" t="s">
        <v>81</v>
      </c>
      <c r="E76" s="194" t="s">
        <v>127</v>
      </c>
      <c r="F76" s="194" t="s">
        <v>129</v>
      </c>
      <c r="G76" s="277"/>
      <c r="H76" s="12"/>
      <c r="I76" s="12"/>
    </row>
    <row r="79" spans="1:11" ht="15.75" customHeight="1">
      <c r="A79" s="175" t="s">
        <v>262</v>
      </c>
      <c r="B79" s="176"/>
      <c r="C79" s="223"/>
      <c r="D79" s="184">
        <f>+A57</f>
        <v>2.2100000000000002E-2</v>
      </c>
      <c r="E79" s="184">
        <v>1.7399999999999999E-2</v>
      </c>
      <c r="F79" s="177">
        <f t="shared" ref="F79:F86" si="1">+D79+E79</f>
        <v>3.95E-2</v>
      </c>
      <c r="G79" s="278"/>
      <c r="H79" s="12"/>
      <c r="I79" s="12"/>
    </row>
    <row r="80" spans="1:11" ht="15.75" customHeight="1">
      <c r="A80" s="178" t="s">
        <v>263</v>
      </c>
      <c r="B80" s="62"/>
      <c r="C80" s="224"/>
      <c r="D80" s="398">
        <f>+A58</f>
        <v>2.41E-2</v>
      </c>
      <c r="E80" s="398">
        <v>1.84E-2</v>
      </c>
      <c r="F80" s="179">
        <f t="shared" si="1"/>
        <v>4.2499999999999996E-2</v>
      </c>
      <c r="G80" s="278"/>
      <c r="H80" s="12"/>
      <c r="I80" s="12"/>
    </row>
    <row r="81" spans="1:9" ht="15.75" customHeight="1">
      <c r="A81" s="180" t="s">
        <v>264</v>
      </c>
      <c r="B81" s="181"/>
      <c r="C81" s="225"/>
      <c r="D81" s="185">
        <f>+A59</f>
        <v>2.1700000000000001E-2</v>
      </c>
      <c r="E81" s="185">
        <v>1.9099999999999999E-2</v>
      </c>
      <c r="F81" s="182">
        <f t="shared" si="1"/>
        <v>4.0800000000000003E-2</v>
      </c>
      <c r="G81" s="278"/>
      <c r="H81" s="12"/>
      <c r="I81" s="12"/>
    </row>
    <row r="82" spans="1:9" ht="15.75" customHeight="1">
      <c r="A82" s="178" t="s">
        <v>265</v>
      </c>
      <c r="B82" s="62"/>
      <c r="C82" s="224"/>
      <c r="D82" s="398">
        <f t="shared" ref="D82:D84" si="2">+A63</f>
        <v>2.3E-2</v>
      </c>
      <c r="E82" s="398">
        <v>0.02</v>
      </c>
      <c r="F82" s="179">
        <f t="shared" si="1"/>
        <v>4.2999999999999997E-2</v>
      </c>
      <c r="G82" s="278"/>
      <c r="H82" s="12"/>
      <c r="I82" s="12"/>
    </row>
    <row r="83" spans="1:9" ht="15.75" customHeight="1">
      <c r="A83" s="178" t="s">
        <v>266</v>
      </c>
      <c r="B83" s="62"/>
      <c r="C83" s="224"/>
      <c r="D83" s="398">
        <f t="shared" si="2"/>
        <v>2.2599999999999999E-2</v>
      </c>
      <c r="E83" s="398">
        <v>1.9E-2</v>
      </c>
      <c r="F83" s="179">
        <f t="shared" si="1"/>
        <v>4.1599999999999998E-2</v>
      </c>
      <c r="G83" s="278"/>
      <c r="H83" s="12"/>
      <c r="I83" s="12"/>
    </row>
    <row r="84" spans="1:9" ht="15.75" customHeight="1">
      <c r="A84" s="178" t="s">
        <v>476</v>
      </c>
      <c r="B84" s="62"/>
      <c r="C84" s="224"/>
      <c r="D84" s="398">
        <f t="shared" si="2"/>
        <v>2.24E-2</v>
      </c>
      <c r="E84" s="398">
        <v>0.02</v>
      </c>
      <c r="F84" s="179">
        <f t="shared" si="1"/>
        <v>4.24E-2</v>
      </c>
      <c r="G84" s="278"/>
      <c r="H84" s="12"/>
      <c r="I84" s="12"/>
    </row>
    <row r="85" spans="1:9" ht="15.75" customHeight="1">
      <c r="A85" s="178" t="s">
        <v>477</v>
      </c>
      <c r="B85" s="62"/>
      <c r="C85" s="224"/>
      <c r="D85" s="398">
        <f>+A66</f>
        <v>2.1999999999999999E-2</v>
      </c>
      <c r="E85" s="398">
        <v>1.9E-2</v>
      </c>
      <c r="F85" s="179">
        <f t="shared" si="1"/>
        <v>4.0999999999999995E-2</v>
      </c>
      <c r="G85" s="278"/>
      <c r="H85" s="12"/>
      <c r="I85" s="12"/>
    </row>
    <row r="86" spans="1:9" ht="15.75" customHeight="1">
      <c r="A86" s="180" t="s">
        <v>258</v>
      </c>
      <c r="B86" s="181"/>
      <c r="C86" s="225"/>
      <c r="D86" s="185">
        <f>+A67</f>
        <v>0.02</v>
      </c>
      <c r="E86" s="185">
        <v>1.7999999999999999E-2</v>
      </c>
      <c r="F86" s="182">
        <f t="shared" si="1"/>
        <v>3.7999999999999999E-2</v>
      </c>
      <c r="G86" s="278"/>
      <c r="H86" s="12"/>
      <c r="I86" s="12"/>
    </row>
    <row r="87" spans="1:9" ht="15.75" customHeight="1">
      <c r="A87" s="108"/>
      <c r="B87" s="126"/>
      <c r="C87" s="126" t="s">
        <v>45</v>
      </c>
      <c r="D87" s="183">
        <v>2.5499999999999998E-2</v>
      </c>
      <c r="E87" s="183">
        <f t="shared" ref="E87" si="3">MAX(E79:E86)</f>
        <v>0.02</v>
      </c>
      <c r="F87" s="183">
        <v>4.5199999999999997E-2</v>
      </c>
      <c r="G87" s="279"/>
      <c r="H87" s="12"/>
      <c r="I87" s="12"/>
    </row>
    <row r="88" spans="1:9" ht="15.75" customHeight="1">
      <c r="A88" s="108"/>
      <c r="B88" s="126"/>
      <c r="C88" s="126" t="s">
        <v>46</v>
      </c>
      <c r="D88" s="183">
        <v>0.02</v>
      </c>
      <c r="E88" s="183">
        <f t="shared" ref="E88" si="4">MIN(E79:E86)</f>
        <v>1.7399999999999999E-2</v>
      </c>
      <c r="F88" s="238">
        <v>3.6999999999999998E-2</v>
      </c>
      <c r="G88" s="279"/>
      <c r="H88" s="12"/>
      <c r="I88" s="12"/>
    </row>
    <row r="89" spans="1:9" ht="15.75" customHeight="1">
      <c r="A89" s="108"/>
      <c r="B89" s="126"/>
      <c r="C89" s="126" t="s">
        <v>18</v>
      </c>
      <c r="D89" s="437">
        <f>MEDIAN(D79:D86)</f>
        <v>2.2249999999999999E-2</v>
      </c>
      <c r="E89" s="437">
        <f>MEDIAN(E79:E86)</f>
        <v>1.9E-2</v>
      </c>
      <c r="F89" s="179">
        <f t="shared" ref="F89:F90" si="5">+D89+E89</f>
        <v>4.1249999999999995E-2</v>
      </c>
      <c r="G89" s="278"/>
      <c r="H89" s="12"/>
      <c r="I89" s="12"/>
    </row>
    <row r="90" spans="1:9" ht="15.75" customHeight="1">
      <c r="A90" s="108"/>
      <c r="B90" s="126"/>
      <c r="C90" s="126" t="s">
        <v>19</v>
      </c>
      <c r="D90" s="399">
        <f>AVERAGE(D79:D86)</f>
        <v>2.2237499999999997E-2</v>
      </c>
      <c r="E90" s="399">
        <f>AVERAGE(E79:E86)</f>
        <v>1.8862499999999997E-2</v>
      </c>
      <c r="F90" s="182">
        <f t="shared" si="5"/>
        <v>4.1099999999999998E-2</v>
      </c>
      <c r="G90" s="278"/>
      <c r="H90" s="12"/>
      <c r="I90" s="12"/>
    </row>
    <row r="91" spans="1:9" ht="15" customHeight="1">
      <c r="A91" s="12"/>
      <c r="B91" s="14"/>
    </row>
    <row r="92" spans="1:9" ht="18.75" customHeight="1" thickBot="1">
      <c r="A92" s="12"/>
      <c r="B92" s="14"/>
    </row>
    <row r="93" spans="1:9" ht="21" customHeight="1" thickBot="1">
      <c r="A93" s="12"/>
      <c r="B93" s="133"/>
      <c r="C93" s="49" t="s">
        <v>215</v>
      </c>
      <c r="D93" s="450">
        <v>2.2200000000000001E-2</v>
      </c>
      <c r="E93" s="450">
        <v>1.89E-2</v>
      </c>
      <c r="F93" s="400">
        <f>+D93+E93</f>
        <v>4.1099999999999998E-2</v>
      </c>
    </row>
    <row r="94" spans="1:9" ht="15" customHeight="1">
      <c r="A94" s="12"/>
      <c r="B94" s="12"/>
      <c r="C94" s="12"/>
      <c r="D94" s="12"/>
      <c r="E94" s="12"/>
      <c r="F94" s="12"/>
      <c r="G94" s="12"/>
      <c r="I94" s="12"/>
    </row>
    <row r="95" spans="1:9" ht="15" customHeight="1">
      <c r="A95" s="12"/>
      <c r="B95" s="12"/>
      <c r="C95" s="12"/>
      <c r="D95" s="12"/>
      <c r="E95" s="12"/>
      <c r="F95" s="12"/>
      <c r="G95" s="12"/>
      <c r="I95" s="12" t="s">
        <v>0</v>
      </c>
    </row>
    <row r="96" spans="1:9" ht="16.5" customHeight="1">
      <c r="A96" s="12"/>
      <c r="B96" s="12"/>
      <c r="C96" s="12"/>
      <c r="D96" s="12"/>
      <c r="E96" s="12"/>
      <c r="F96" s="12"/>
      <c r="G96" s="12"/>
      <c r="H96" s="12"/>
      <c r="I96" s="12"/>
    </row>
    <row r="97" spans="1:9" ht="15" customHeight="1">
      <c r="A97" s="134" t="s">
        <v>149</v>
      </c>
      <c r="B97" s="135"/>
      <c r="C97" s="135"/>
      <c r="D97" s="135"/>
      <c r="E97" s="136"/>
      <c r="F97" s="135"/>
      <c r="G97" s="135"/>
      <c r="H97" s="135"/>
      <c r="I97" s="12"/>
    </row>
    <row r="98" spans="1:9" ht="15" customHeight="1">
      <c r="A98" s="498" t="s">
        <v>501</v>
      </c>
      <c r="B98" s="498"/>
      <c r="C98" s="498"/>
      <c r="D98" s="498"/>
      <c r="E98" s="498"/>
      <c r="F98" s="498"/>
      <c r="G98" s="498"/>
      <c r="H98" s="498"/>
      <c r="I98" s="12"/>
    </row>
    <row r="99" spans="1:9" ht="16.5" customHeight="1">
      <c r="A99" s="456" t="s">
        <v>423</v>
      </c>
      <c r="B99" s="135"/>
      <c r="C99" s="456" t="s">
        <v>0</v>
      </c>
      <c r="D99" s="135"/>
      <c r="E99" s="136"/>
      <c r="F99" s="135"/>
      <c r="G99" s="135"/>
      <c r="H99" s="135"/>
      <c r="I99" s="12"/>
    </row>
    <row r="100" spans="1:9" ht="15" customHeight="1">
      <c r="A100" s="134"/>
      <c r="B100" s="135"/>
      <c r="C100" s="135"/>
      <c r="D100" s="135"/>
      <c r="E100" s="136"/>
      <c r="F100" s="135"/>
      <c r="G100" s="135"/>
      <c r="H100" s="135"/>
      <c r="I100" s="12"/>
    </row>
    <row r="101" spans="1:9" ht="15" customHeight="1">
      <c r="A101" s="498" t="s">
        <v>502</v>
      </c>
      <c r="B101" s="498"/>
      <c r="C101" s="498"/>
      <c r="D101" s="498"/>
      <c r="E101" s="498"/>
      <c r="F101" s="498"/>
      <c r="G101" s="498"/>
      <c r="H101" s="498"/>
      <c r="I101" s="12"/>
    </row>
    <row r="102" spans="1:9" ht="16.5" customHeight="1">
      <c r="A102" s="137" t="s">
        <v>150</v>
      </c>
      <c r="B102" s="138"/>
      <c r="C102" s="138" t="s">
        <v>0</v>
      </c>
      <c r="D102" s="138"/>
      <c r="E102" s="138"/>
      <c r="F102" s="138"/>
      <c r="G102" s="138"/>
      <c r="H102" s="135"/>
      <c r="I102" s="12"/>
    </row>
    <row r="103" spans="1:9" ht="15" customHeight="1">
      <c r="A103" s="137"/>
      <c r="B103" s="138"/>
      <c r="C103" s="138"/>
      <c r="D103" s="138"/>
      <c r="E103" s="138"/>
      <c r="F103" s="138"/>
      <c r="G103" s="138"/>
      <c r="H103" s="135"/>
      <c r="I103" s="12"/>
    </row>
    <row r="104" spans="1:9" ht="15" customHeight="1">
      <c r="A104" s="498" t="s">
        <v>503</v>
      </c>
      <c r="B104" s="498"/>
      <c r="C104" s="498"/>
      <c r="D104" s="498"/>
      <c r="E104" s="498"/>
      <c r="F104" s="498"/>
      <c r="G104" s="498"/>
      <c r="H104" s="498"/>
      <c r="I104" s="12"/>
    </row>
    <row r="105" spans="1:9" ht="16.5" customHeight="1">
      <c r="A105" s="137" t="s">
        <v>150</v>
      </c>
      <c r="B105" s="138"/>
      <c r="C105" s="138" t="s">
        <v>0</v>
      </c>
      <c r="D105" s="138"/>
      <c r="E105" s="138"/>
      <c r="F105" s="138"/>
      <c r="G105" s="138"/>
      <c r="H105" s="135"/>
      <c r="I105" s="12"/>
    </row>
    <row r="106" spans="1:9" ht="15" customHeight="1">
      <c r="A106" s="137"/>
      <c r="B106" s="138"/>
      <c r="C106" s="138"/>
      <c r="D106" s="138"/>
      <c r="E106" s="138"/>
      <c r="F106" s="138"/>
      <c r="G106" s="138"/>
      <c r="H106" s="135"/>
      <c r="I106" s="12"/>
    </row>
    <row r="107" spans="1:9" ht="15" customHeight="1">
      <c r="A107" s="498" t="s">
        <v>504</v>
      </c>
      <c r="B107" s="498"/>
      <c r="C107" s="498"/>
      <c r="D107" s="498"/>
      <c r="E107" s="498"/>
      <c r="F107" s="498"/>
      <c r="G107" s="498"/>
      <c r="H107" s="498"/>
      <c r="I107" s="12"/>
    </row>
    <row r="108" spans="1:9" ht="15" customHeight="1">
      <c r="A108" s="457" t="s">
        <v>151</v>
      </c>
      <c r="B108" s="138"/>
      <c r="C108" s="138"/>
      <c r="D108" s="12"/>
      <c r="E108" s="138"/>
      <c r="F108" s="138"/>
      <c r="G108" s="138"/>
      <c r="H108" s="135"/>
      <c r="I108" s="12"/>
    </row>
    <row r="109" spans="1:9" ht="15" customHeight="1">
      <c r="A109" s="456" t="s">
        <v>505</v>
      </c>
      <c r="B109" s="138"/>
      <c r="C109" s="138"/>
      <c r="D109" s="138"/>
      <c r="E109" s="138"/>
      <c r="F109" s="138"/>
      <c r="G109" s="138"/>
      <c r="H109" s="135"/>
      <c r="I109" s="12"/>
    </row>
    <row r="110" spans="1:9" ht="15" customHeight="1">
      <c r="A110" s="456"/>
      <c r="B110" s="138"/>
      <c r="C110" s="138"/>
      <c r="D110" s="138"/>
      <c r="E110" s="138"/>
      <c r="F110" s="138"/>
      <c r="G110" s="138"/>
      <c r="H110" s="135"/>
      <c r="I110" s="12"/>
    </row>
    <row r="111" spans="1:9" ht="15" customHeight="1">
      <c r="A111" s="139" t="s">
        <v>506</v>
      </c>
      <c r="B111" s="139"/>
      <c r="C111" s="139"/>
      <c r="D111" s="139"/>
      <c r="E111" s="139"/>
      <c r="F111" s="139"/>
      <c r="G111" s="139"/>
      <c r="H111" s="135"/>
      <c r="I111" s="12"/>
    </row>
    <row r="112" spans="1:9" ht="15" customHeight="1">
      <c r="A112" s="457" t="s">
        <v>152</v>
      </c>
      <c r="B112" s="138"/>
      <c r="C112" s="12"/>
      <c r="D112" s="138"/>
      <c r="E112" s="12"/>
      <c r="F112" s="138"/>
      <c r="G112" s="138"/>
      <c r="H112" s="135"/>
      <c r="I112" s="12"/>
    </row>
    <row r="113" spans="1:9" ht="15" customHeight="1">
      <c r="A113" s="456" t="s">
        <v>478</v>
      </c>
      <c r="B113" s="138"/>
      <c r="C113" s="456"/>
      <c r="D113" s="138"/>
      <c r="E113" s="12"/>
      <c r="F113" s="138"/>
      <c r="G113" s="138"/>
      <c r="H113" s="135"/>
      <c r="I113" s="12"/>
    </row>
    <row r="114" spans="1:9" ht="15" customHeight="1">
      <c r="A114" s="458" t="s">
        <v>507</v>
      </c>
      <c r="B114" s="456" t="s">
        <v>492</v>
      </c>
      <c r="C114" s="140"/>
      <c r="D114" s="140"/>
      <c r="E114" s="140"/>
      <c r="F114" s="140"/>
      <c r="G114" s="140"/>
      <c r="H114" s="141"/>
    </row>
    <row r="115" spans="1:9" ht="17">
      <c r="A115" s="12"/>
      <c r="B115" s="456"/>
      <c r="C115" s="140"/>
      <c r="D115" s="140"/>
      <c r="E115" s="140"/>
      <c r="F115" s="140"/>
      <c r="G115" s="140"/>
      <c r="H115" s="141"/>
    </row>
    <row r="116" spans="1:9" ht="17">
      <c r="A116" s="139" t="s">
        <v>508</v>
      </c>
      <c r="B116" s="12"/>
      <c r="C116" s="12"/>
      <c r="D116" s="12"/>
      <c r="E116" s="12"/>
      <c r="F116" s="12"/>
      <c r="G116" s="12"/>
      <c r="H116" s="12"/>
    </row>
    <row r="117" spans="1:9" ht="21.65" customHeight="1">
      <c r="A117" s="456" t="s">
        <v>486</v>
      </c>
      <c r="B117" s="12"/>
      <c r="C117" s="456" t="s">
        <v>0</v>
      </c>
      <c r="D117" s="12"/>
      <c r="E117" s="12"/>
      <c r="F117" s="12"/>
      <c r="G117" s="12"/>
      <c r="H117" s="12"/>
    </row>
    <row r="118" spans="1:9" ht="17">
      <c r="A118" s="12"/>
      <c r="B118" s="12"/>
      <c r="C118" s="12"/>
      <c r="D118" s="12"/>
      <c r="E118" s="12"/>
      <c r="F118" s="12"/>
      <c r="G118" s="12"/>
      <c r="H118" s="12"/>
    </row>
  </sheetData>
  <mergeCells count="4">
    <mergeCell ref="A107:H107"/>
    <mergeCell ref="A98:H98"/>
    <mergeCell ref="A101:H101"/>
    <mergeCell ref="A104:H104"/>
  </mergeCells>
  <hyperlinks>
    <hyperlink ref="A51" r:id="rId1" xr:uid="{E33720D9-6A4A-421C-AD2B-0E446FC80DAB}"/>
    <hyperlink ref="B35" r:id="rId2" xr:uid="{40B20A4A-246B-4037-9F5F-5BFA8863039E}"/>
    <hyperlink ref="B41" r:id="rId3" xr:uid="{81BA89BE-CD61-4F00-B177-3D102584BE67}"/>
    <hyperlink ref="B47" r:id="rId4" xr:uid="{58ED84B5-9227-4C9E-879D-BC043A284936}"/>
    <hyperlink ref="A102" r:id="rId5" xr:uid="{CF25CED3-F25D-418C-A1B3-69DDB63F90F5}"/>
    <hyperlink ref="A112" r:id="rId6" location="4" xr:uid="{44063B05-BD0B-4382-B8DC-1A5217339E92}"/>
    <hyperlink ref="A108" r:id="rId7" xr:uid="{1D1236F2-2E3B-4879-8AFD-4A3C77C2C11D}"/>
    <hyperlink ref="A105" r:id="rId8" xr:uid="{C5F5DC0E-E842-4588-A3E0-B827D4AE80BD}"/>
    <hyperlink ref="A99" r:id="rId9" xr:uid="{B6586A48-8663-4594-BDC2-F5AF0CA2F077}"/>
    <hyperlink ref="C99" r:id="rId10" display="https://www.federalreserve.gov/datadownload/Preview.aspx?pi=400&amp;rel=H15&amp;preview=%20H15/H15/RIFLGFCY05_N.WF" xr:uid="{6648A45C-FCFF-47F0-9630-31C75BD20F06}"/>
    <hyperlink ref="A113" r:id="rId11" xr:uid="{F53F143A-8EC4-41DE-A3F5-CE4B28BFEE33}"/>
    <hyperlink ref="C117" r:id="rId12" display="https://www.federalreserve.gov/monetarypolicy/files/fomcprojtabl20231213.pdf" xr:uid="{D6A85606-07BC-4C4E-9522-768818608CDC}"/>
    <hyperlink ref="A117" r:id="rId13" xr:uid="{E1FF97DB-1791-4E59-9F13-36F5DFEB8DCA}"/>
    <hyperlink ref="A109" r:id="rId14" display="https://www.philadelphiafed.org/-/media/frbp/assets/surveys-and-data/survey-of-professional-forecasters/2024/spfq124.pdf" xr:uid="{543FE5BA-2975-4E3B-BE30-FBE6AFE5DB22}"/>
    <hyperlink ref="B114" r:id="rId15" xr:uid="{E230862B-310E-4332-9833-44C43ADC9BBB}"/>
  </hyperlinks>
  <pageMargins left="0.25" right="0.25" top="0.75" bottom="0.75" header="0.3" footer="0.3"/>
  <pageSetup scale="29" fitToWidth="0" orientation="portrait"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02846-3807-4F4D-BD02-A8B0B2C565FB}">
  <sheetPr>
    <tabColor rgb="FF92D050"/>
    <pageSetUpPr fitToPage="1"/>
  </sheetPr>
  <dimension ref="A1:I104"/>
  <sheetViews>
    <sheetView view="pageBreakPreview" topLeftCell="A25" zoomScale="70" zoomScaleNormal="80" zoomScaleSheetLayoutView="70" workbookViewId="0">
      <selection activeCell="D52" sqref="D52"/>
    </sheetView>
  </sheetViews>
  <sheetFormatPr defaultRowHeight="14.5"/>
  <cols>
    <col min="1" max="1" width="45.7265625" customWidth="1"/>
    <col min="2" max="2" width="17.81640625" customWidth="1"/>
    <col min="3" max="3" width="72.1796875" customWidth="1"/>
    <col min="4" max="4" width="34.54296875" customWidth="1"/>
    <col min="5" max="5" width="21.7265625" customWidth="1"/>
    <col min="6" max="6" width="17.1796875" customWidth="1"/>
    <col min="7" max="7" width="24.81640625" customWidth="1"/>
    <col min="8" max="8" width="18" customWidth="1"/>
    <col min="9" max="9" width="20.81640625" customWidth="1"/>
    <col min="10" max="10" width="19" customWidth="1"/>
    <col min="11" max="11" width="17.26953125" customWidth="1"/>
    <col min="12" max="12" width="24.1796875" customWidth="1"/>
  </cols>
  <sheetData>
    <row r="1" spans="1:9" ht="25.5">
      <c r="A1" s="23" t="s">
        <v>1</v>
      </c>
      <c r="B1" s="12"/>
      <c r="C1" s="12"/>
      <c r="D1" s="12"/>
      <c r="E1" s="12"/>
      <c r="F1" s="12"/>
      <c r="G1" s="12"/>
      <c r="H1" s="12"/>
      <c r="I1" s="12"/>
    </row>
    <row r="2" spans="1:9" ht="17.5">
      <c r="A2" s="62" t="s">
        <v>9</v>
      </c>
      <c r="B2" s="12"/>
      <c r="C2" s="12"/>
      <c r="D2" s="12"/>
      <c r="E2" s="12"/>
      <c r="F2" s="12"/>
      <c r="G2" s="12"/>
      <c r="H2" s="12"/>
      <c r="I2" s="12"/>
    </row>
    <row r="3" spans="1:9" ht="17">
      <c r="A3" s="43" t="s">
        <v>480</v>
      </c>
      <c r="B3" s="12"/>
      <c r="C3" s="12"/>
      <c r="D3" s="12"/>
      <c r="E3" s="12"/>
      <c r="F3" s="12"/>
      <c r="G3" s="12"/>
      <c r="H3" s="12"/>
      <c r="I3" s="12"/>
    </row>
    <row r="4" spans="1:9" ht="17">
      <c r="A4" s="12"/>
      <c r="B4" s="12"/>
      <c r="C4" s="12"/>
      <c r="D4" s="12"/>
      <c r="E4" s="12"/>
      <c r="F4" s="12"/>
      <c r="G4" s="12"/>
      <c r="H4" s="12"/>
      <c r="I4" s="12"/>
    </row>
    <row r="5" spans="1:9" ht="18" thickBot="1">
      <c r="A5" s="62"/>
      <c r="B5" s="12"/>
      <c r="C5" s="12"/>
      <c r="D5" s="12"/>
      <c r="E5" s="12"/>
      <c r="F5" s="12"/>
      <c r="G5" s="12"/>
      <c r="H5" s="12"/>
      <c r="I5" s="12"/>
    </row>
    <row r="6" spans="1:9" ht="21.5" thickBot="1">
      <c r="A6" s="282" t="str">
        <f>+'S&amp;D'!A12</f>
        <v>Liquid Transportation Pipeline Carriers</v>
      </c>
      <c r="B6" s="208"/>
      <c r="C6" s="12"/>
      <c r="D6" s="12"/>
      <c r="E6" s="12"/>
      <c r="F6" s="12"/>
      <c r="G6" s="12"/>
      <c r="H6" s="12"/>
      <c r="I6" s="12"/>
    </row>
    <row r="7" spans="1:9" ht="18" thickBot="1">
      <c r="A7" s="62"/>
      <c r="B7" s="12"/>
      <c r="C7" s="28"/>
      <c r="E7" s="12"/>
      <c r="F7" s="12"/>
      <c r="G7" s="12"/>
      <c r="H7" s="12"/>
      <c r="I7" s="12"/>
    </row>
    <row r="8" spans="1:9" ht="25.5">
      <c r="B8" s="12"/>
      <c r="C8" s="31" t="s">
        <v>159</v>
      </c>
      <c r="E8" s="12"/>
      <c r="F8" s="12"/>
      <c r="G8" s="12"/>
      <c r="H8" s="12"/>
      <c r="I8" s="12"/>
    </row>
    <row r="9" spans="1:9" ht="21.5" thickBot="1">
      <c r="A9" s="30"/>
      <c r="B9" s="12"/>
      <c r="C9" s="32" t="s">
        <v>75</v>
      </c>
      <c r="E9" s="12"/>
      <c r="F9" s="12"/>
      <c r="G9" s="12"/>
      <c r="H9" s="12"/>
      <c r="I9" s="12"/>
    </row>
    <row r="10" spans="1:9" ht="21">
      <c r="A10" s="30"/>
      <c r="B10" s="12"/>
      <c r="C10" s="12"/>
      <c r="D10" s="12"/>
      <c r="E10" s="12"/>
      <c r="F10" s="12"/>
      <c r="G10" s="12"/>
      <c r="H10" s="12"/>
      <c r="I10" s="12"/>
    </row>
    <row r="11" spans="1:9" ht="17.5" thickBot="1">
      <c r="A11" s="12"/>
      <c r="B11" s="12"/>
      <c r="C11" s="12"/>
      <c r="D11" s="12"/>
      <c r="E11" s="12"/>
      <c r="F11" s="12"/>
      <c r="G11" s="12"/>
      <c r="H11" s="12"/>
      <c r="I11" s="12"/>
    </row>
    <row r="12" spans="1:9" ht="17">
      <c r="A12" s="12"/>
      <c r="B12" s="12"/>
      <c r="C12" s="80" t="s">
        <v>0</v>
      </c>
      <c r="D12" s="80" t="s">
        <v>192</v>
      </c>
      <c r="E12" s="12"/>
      <c r="F12" s="12"/>
      <c r="G12" s="12"/>
      <c r="H12" s="12"/>
      <c r="I12" s="12"/>
    </row>
    <row r="13" spans="1:9" ht="21.5" thickBot="1">
      <c r="A13" s="12"/>
      <c r="B13" s="12"/>
      <c r="C13" s="408" t="s">
        <v>158</v>
      </c>
      <c r="D13" s="82" t="s">
        <v>285</v>
      </c>
      <c r="E13" s="12"/>
      <c r="F13" s="12"/>
      <c r="G13" s="12"/>
      <c r="H13" s="12"/>
      <c r="I13" s="12"/>
    </row>
    <row r="14" spans="1:9" ht="17.5">
      <c r="A14" s="12"/>
      <c r="B14" s="12"/>
      <c r="C14" s="425" t="s">
        <v>438</v>
      </c>
      <c r="D14" s="426">
        <f>+CAPM!F16</f>
        <v>7.4273999999999993E-2</v>
      </c>
      <c r="E14" s="415"/>
      <c r="F14" s="12"/>
      <c r="G14" s="12"/>
      <c r="H14" s="12"/>
      <c r="I14" s="12"/>
    </row>
    <row r="15" spans="1:9" ht="17.5">
      <c r="A15" s="12"/>
      <c r="B15" s="12"/>
      <c r="C15" s="293" t="s">
        <v>439</v>
      </c>
      <c r="D15" s="427">
        <f>+CAPM!F17</f>
        <v>7.6212000000000002E-2</v>
      </c>
      <c r="E15" s="415"/>
      <c r="F15" s="12"/>
      <c r="G15" s="12"/>
      <c r="H15" s="12"/>
      <c r="I15" s="12"/>
    </row>
    <row r="16" spans="1:9" ht="17.5">
      <c r="A16" s="12"/>
      <c r="B16" s="12"/>
      <c r="C16" s="293" t="s">
        <v>456</v>
      </c>
      <c r="D16" s="427">
        <f>+CAPM!F19</f>
        <v>9.3539999999999984E-2</v>
      </c>
      <c r="E16" s="415"/>
      <c r="F16" s="12"/>
      <c r="G16" s="12"/>
      <c r="H16" s="12"/>
      <c r="I16" s="12"/>
    </row>
    <row r="17" spans="1:9" ht="17.5">
      <c r="A17" s="12"/>
      <c r="B17" s="12"/>
      <c r="C17" s="293" t="s">
        <v>470</v>
      </c>
      <c r="D17" s="427">
        <f>+CAPM!F20</f>
        <v>0.11029799999999999</v>
      </c>
      <c r="E17" s="415"/>
      <c r="F17" s="12"/>
      <c r="G17" s="12"/>
      <c r="H17" s="12"/>
      <c r="I17" s="12"/>
    </row>
    <row r="18" spans="1:9" ht="17.5">
      <c r="A18" s="12"/>
      <c r="B18" s="12"/>
      <c r="C18" s="293" t="s">
        <v>457</v>
      </c>
      <c r="D18" s="427">
        <f>+CAPM!F21</f>
        <v>9.1601999999999989E-2</v>
      </c>
      <c r="E18" s="415"/>
      <c r="F18" s="12"/>
      <c r="G18" s="12"/>
      <c r="H18" s="12"/>
      <c r="I18" s="12"/>
    </row>
    <row r="19" spans="1:9" ht="17.5">
      <c r="A19" s="12"/>
      <c r="B19" s="12"/>
      <c r="C19" s="293" t="s">
        <v>458</v>
      </c>
      <c r="D19" s="427">
        <f>+CAPM!F22</f>
        <v>9.0006000000000003E-2</v>
      </c>
      <c r="E19" s="415"/>
      <c r="F19" s="12"/>
      <c r="G19" s="12"/>
      <c r="H19" s="12"/>
      <c r="I19" s="12"/>
    </row>
    <row r="20" spans="1:9" ht="17.5">
      <c r="A20" s="12"/>
      <c r="B20" s="12"/>
      <c r="C20" s="293" t="s">
        <v>160</v>
      </c>
      <c r="D20" s="427">
        <f>+CAPM!F24</f>
        <v>9.7416000000000003E-2</v>
      </c>
      <c r="E20" s="415"/>
      <c r="F20" s="12"/>
      <c r="G20" s="12"/>
      <c r="H20" s="12"/>
      <c r="I20" s="12"/>
    </row>
    <row r="21" spans="1:9" ht="17.5">
      <c r="A21" s="12"/>
      <c r="B21" s="12"/>
      <c r="C21" s="293" t="s">
        <v>161</v>
      </c>
      <c r="D21" s="427">
        <f>+CAPM!F26</f>
        <v>0.10607999999999999</v>
      </c>
      <c r="E21" s="415"/>
      <c r="F21" s="12"/>
      <c r="G21" s="12"/>
      <c r="H21" s="12"/>
      <c r="I21" s="12"/>
    </row>
    <row r="22" spans="1:9" ht="17.5">
      <c r="A22" s="12"/>
      <c r="B22" s="12"/>
      <c r="C22" s="293" t="s">
        <v>162</v>
      </c>
      <c r="D22" s="427">
        <f>+CAPM!F28</f>
        <v>0.11463</v>
      </c>
      <c r="E22" s="441"/>
      <c r="G22" s="12"/>
      <c r="H22" s="12"/>
      <c r="I22" s="12"/>
    </row>
    <row r="23" spans="1:9" ht="17.5">
      <c r="A23" s="12"/>
      <c r="B23" s="12"/>
      <c r="C23" s="293" t="s">
        <v>163</v>
      </c>
      <c r="D23" s="427">
        <f>+CAPM!F29</f>
        <v>0.10026599999999999</v>
      </c>
      <c r="E23" s="441"/>
      <c r="G23" s="12"/>
      <c r="H23" s="12"/>
      <c r="I23" s="12"/>
    </row>
    <row r="24" spans="1:9" ht="17.5">
      <c r="A24" s="12"/>
      <c r="B24" s="12"/>
      <c r="C24" s="294" t="s">
        <v>459</v>
      </c>
      <c r="D24" s="427">
        <f>+CAPM!F31</f>
        <v>0.12283799999999999</v>
      </c>
      <c r="E24" s="441"/>
      <c r="G24" s="12"/>
      <c r="H24" s="12"/>
      <c r="I24" s="12"/>
    </row>
    <row r="25" spans="1:9" ht="17.5">
      <c r="A25" s="12"/>
      <c r="B25" s="12"/>
      <c r="C25" s="294" t="s">
        <v>460</v>
      </c>
      <c r="D25" s="427">
        <f>+CAPM!F32</f>
        <v>0.112008</v>
      </c>
      <c r="E25" s="428"/>
      <c r="F25" s="12"/>
      <c r="G25" s="12"/>
      <c r="H25" s="12"/>
      <c r="I25" s="12"/>
    </row>
    <row r="26" spans="1:9" ht="17.5">
      <c r="A26" s="12"/>
      <c r="B26" s="12"/>
      <c r="C26" s="294" t="s">
        <v>461</v>
      </c>
      <c r="D26" s="427">
        <f>+CAPM!F33</f>
        <v>0.10379999999999999</v>
      </c>
      <c r="E26" s="428"/>
      <c r="F26" s="12"/>
      <c r="G26" s="12"/>
      <c r="H26" s="12"/>
      <c r="I26" s="12"/>
    </row>
    <row r="27" spans="1:9" ht="17.5">
      <c r="A27" s="12"/>
      <c r="B27" s="12"/>
      <c r="C27" s="293" t="s">
        <v>436</v>
      </c>
      <c r="D27" s="427">
        <f>+CAPM!G42</f>
        <v>7.3255500000000001E-2</v>
      </c>
      <c r="E27" s="415"/>
      <c r="F27" s="12"/>
      <c r="G27" s="12"/>
      <c r="H27" s="12"/>
      <c r="I27" s="12"/>
    </row>
    <row r="28" spans="1:9" ht="17.5">
      <c r="A28" s="12"/>
      <c r="B28" s="12"/>
      <c r="C28" s="293" t="s">
        <v>437</v>
      </c>
      <c r="D28" s="427">
        <f>+CAPM!G43</f>
        <v>7.5133999999999992E-2</v>
      </c>
      <c r="E28" s="415"/>
      <c r="F28" s="12"/>
      <c r="G28" s="12"/>
      <c r="H28" s="12"/>
      <c r="I28" s="12"/>
    </row>
    <row r="29" spans="1:9" ht="17.5">
      <c r="A29" s="12"/>
      <c r="B29" s="12"/>
      <c r="C29" s="293" t="s">
        <v>462</v>
      </c>
      <c r="D29" s="427">
        <f>+CAPM!G45</f>
        <v>9.1929999999999998E-2</v>
      </c>
      <c r="E29" s="415"/>
      <c r="F29" s="12"/>
      <c r="G29" s="12"/>
      <c r="H29" s="12"/>
      <c r="I29" s="12"/>
    </row>
    <row r="30" spans="1:9" ht="17.5">
      <c r="A30" s="12"/>
      <c r="B30" s="12"/>
      <c r="C30" s="293" t="s">
        <v>471</v>
      </c>
      <c r="D30" s="427">
        <f>+CAPM!G46</f>
        <v>0.10817349999999999</v>
      </c>
      <c r="E30" s="415"/>
      <c r="F30" s="12"/>
      <c r="G30" s="12"/>
      <c r="H30" s="12"/>
      <c r="I30" s="12"/>
    </row>
    <row r="31" spans="1:9" ht="17.5">
      <c r="A31" s="12"/>
      <c r="B31" s="12"/>
      <c r="C31" s="293" t="s">
        <v>463</v>
      </c>
      <c r="D31" s="427">
        <f>+CAPM!G47</f>
        <v>9.0051499999999993E-2</v>
      </c>
      <c r="E31" s="415"/>
      <c r="F31" s="12"/>
      <c r="G31" s="12"/>
      <c r="H31" s="12"/>
      <c r="I31" s="12"/>
    </row>
    <row r="32" spans="1:9" ht="17.5">
      <c r="A32" s="12"/>
      <c r="B32" s="12"/>
      <c r="C32" s="293" t="s">
        <v>464</v>
      </c>
      <c r="D32" s="427">
        <f>+CAPM!G48</f>
        <v>8.8504499999999986E-2</v>
      </c>
      <c r="E32" s="415"/>
      <c r="F32" s="12"/>
      <c r="G32" s="12"/>
      <c r="H32" s="12"/>
      <c r="I32" s="12"/>
    </row>
    <row r="33" spans="1:9" ht="17.5">
      <c r="A33" s="12"/>
      <c r="B33" s="12"/>
      <c r="C33" s="293" t="s">
        <v>164</v>
      </c>
      <c r="D33" s="427">
        <f>+CAPM!G50</f>
        <v>9.5686999999999994E-2</v>
      </c>
      <c r="E33" s="415"/>
      <c r="F33" s="12"/>
      <c r="G33" s="12"/>
      <c r="H33" s="12"/>
      <c r="I33" s="12"/>
    </row>
    <row r="34" spans="1:9" ht="17.5">
      <c r="A34" s="12"/>
      <c r="B34" s="12"/>
      <c r="C34" s="293" t="s">
        <v>165</v>
      </c>
      <c r="D34" s="427">
        <f>+CAPM!G52</f>
        <v>0.104085</v>
      </c>
      <c r="E34" s="415"/>
      <c r="F34" s="12"/>
      <c r="G34" s="12"/>
      <c r="H34" s="12"/>
      <c r="I34" s="12"/>
    </row>
    <row r="35" spans="1:9" ht="17.5">
      <c r="A35" s="12"/>
      <c r="B35" s="12"/>
      <c r="C35" s="294" t="s">
        <v>166</v>
      </c>
      <c r="D35" s="427">
        <f>+CAPM!G54</f>
        <v>0.1123725</v>
      </c>
      <c r="E35" s="415"/>
      <c r="F35" s="12"/>
      <c r="G35" s="12"/>
      <c r="H35" s="12"/>
      <c r="I35" s="12"/>
    </row>
    <row r="36" spans="1:9" ht="17.5">
      <c r="A36" s="12"/>
      <c r="B36" s="12"/>
      <c r="C36" s="293" t="s">
        <v>167</v>
      </c>
      <c r="D36" s="434">
        <f>+CAPM!G55</f>
        <v>9.8449499999999995E-2</v>
      </c>
      <c r="E36" s="415"/>
      <c r="F36" s="12"/>
      <c r="G36" s="12"/>
      <c r="H36" s="12"/>
      <c r="I36" s="12"/>
    </row>
    <row r="37" spans="1:9" ht="16.5" customHeight="1">
      <c r="A37" s="12"/>
      <c r="B37" s="12"/>
      <c r="C37" s="294" t="s">
        <v>465</v>
      </c>
      <c r="D37" s="434">
        <f>+CAPM!G57</f>
        <v>0.12032849999999999</v>
      </c>
      <c r="E37" s="415" t="s">
        <v>0</v>
      </c>
      <c r="F37" s="12"/>
      <c r="G37" s="12"/>
      <c r="H37" s="12"/>
      <c r="I37" s="12"/>
    </row>
    <row r="38" spans="1:9" ht="16.5" customHeight="1">
      <c r="A38" s="12"/>
      <c r="B38" s="12"/>
      <c r="C38" s="294" t="s">
        <v>466</v>
      </c>
      <c r="D38" s="434">
        <f>+CAPM!G58</f>
        <v>0.109831</v>
      </c>
      <c r="E38" s="415"/>
      <c r="F38" s="12"/>
      <c r="G38" s="12"/>
      <c r="H38" s="12"/>
      <c r="I38" s="12"/>
    </row>
    <row r="39" spans="1:9" ht="18.75" customHeight="1">
      <c r="A39" s="12"/>
      <c r="B39" s="12"/>
      <c r="C39" s="294" t="s">
        <v>467</v>
      </c>
      <c r="D39" s="434">
        <f>+CAPM!G59</f>
        <v>0.10187499999999999</v>
      </c>
      <c r="E39" s="429"/>
      <c r="F39" s="12"/>
      <c r="G39" s="12"/>
      <c r="H39" s="12"/>
      <c r="I39" s="12"/>
    </row>
    <row r="40" spans="1:9" ht="21.75" customHeight="1">
      <c r="A40" s="12"/>
      <c r="B40" s="12"/>
      <c r="C40" s="435" t="s">
        <v>240</v>
      </c>
      <c r="D40" s="226">
        <f>+'Single Stage Div Growth Model'!I30</f>
        <v>0.19</v>
      </c>
      <c r="G40" s="12"/>
      <c r="H40" s="12"/>
      <c r="I40" s="12"/>
    </row>
    <row r="41" spans="1:9" ht="21.75" customHeight="1">
      <c r="A41" s="12"/>
      <c r="B41" s="12"/>
      <c r="C41" s="295" t="s">
        <v>239</v>
      </c>
      <c r="D41" s="226">
        <f>+'Single Stage Div Growth Model'!I32</f>
        <v>0.17710000000000001</v>
      </c>
      <c r="G41" s="12"/>
      <c r="H41" s="12"/>
      <c r="I41" s="12"/>
    </row>
    <row r="42" spans="1:9" ht="21.75" customHeight="1">
      <c r="A42" s="12"/>
      <c r="B42" s="12"/>
      <c r="C42" s="430" t="s">
        <v>241</v>
      </c>
      <c r="D42" s="431">
        <f>+'Two-Stage Div Growth Model'!H34</f>
        <v>0.16619999999999999</v>
      </c>
      <c r="G42" s="83" t="s">
        <v>0</v>
      </c>
      <c r="H42" s="12"/>
      <c r="I42" s="12"/>
    </row>
    <row r="43" spans="1:9" ht="21.75" customHeight="1">
      <c r="A43" s="12"/>
      <c r="B43" s="12"/>
      <c r="C43" s="406" t="s">
        <v>366</v>
      </c>
      <c r="D43" s="407">
        <f>+'Direct NOPAT'!G59</f>
        <v>0.1361</v>
      </c>
      <c r="G43" s="12"/>
      <c r="H43" s="12"/>
      <c r="I43" s="12"/>
    </row>
    <row r="44" spans="1:9" ht="17.5" thickBot="1">
      <c r="A44" s="12"/>
      <c r="B44" s="12"/>
      <c r="C44" s="12"/>
      <c r="D44" s="70"/>
      <c r="E44" s="12"/>
      <c r="F44" s="12"/>
      <c r="G44" s="12"/>
      <c r="H44" s="12"/>
      <c r="I44" s="12"/>
    </row>
    <row r="45" spans="1:9" ht="17.5" thickTop="1">
      <c r="A45" s="12"/>
      <c r="B45" s="12"/>
      <c r="C45" s="14" t="s">
        <v>45</v>
      </c>
      <c r="D45" s="52">
        <f>MAX(D14:D42)</f>
        <v>0.19</v>
      </c>
      <c r="E45" s="155"/>
      <c r="F45" s="12"/>
      <c r="G45" s="12"/>
      <c r="H45" s="12"/>
      <c r="I45" s="12"/>
    </row>
    <row r="46" spans="1:9" ht="17">
      <c r="A46" s="12"/>
      <c r="B46" s="12"/>
      <c r="C46" s="14" t="s">
        <v>46</v>
      </c>
      <c r="D46" s="374">
        <f>MIN(D14:D42)</f>
        <v>7.3255500000000001E-2</v>
      </c>
      <c r="E46" s="12"/>
      <c r="F46" s="12"/>
      <c r="G46" s="52"/>
      <c r="H46" s="52"/>
      <c r="I46" s="52"/>
    </row>
    <row r="47" spans="1:9" ht="17">
      <c r="A47" s="12"/>
      <c r="B47" s="12"/>
      <c r="C47" s="14" t="s">
        <v>18</v>
      </c>
      <c r="D47" s="83">
        <f>MEDIAN(D14:D42)</f>
        <v>0.10187499999999999</v>
      </c>
      <c r="E47" s="83"/>
      <c r="F47" s="83"/>
      <c r="G47" s="83"/>
      <c r="H47" s="83"/>
      <c r="I47" s="83"/>
    </row>
    <row r="48" spans="1:9" ht="17">
      <c r="A48" s="12"/>
      <c r="B48" s="12"/>
      <c r="C48" s="14" t="s">
        <v>440</v>
      </c>
      <c r="D48" s="84">
        <f>AVERAGE(D14:D42)</f>
        <v>0.10675681034482756</v>
      </c>
      <c r="E48" s="84"/>
      <c r="F48" s="84"/>
      <c r="G48" s="84"/>
      <c r="H48" s="84"/>
      <c r="I48" s="84"/>
    </row>
    <row r="49" spans="1:9" ht="17">
      <c r="A49" s="12"/>
      <c r="B49" s="12"/>
      <c r="C49" s="14" t="s">
        <v>441</v>
      </c>
      <c r="D49" s="84">
        <f>HARMEAN(D14:D42)</f>
        <v>0.10132066405880671</v>
      </c>
      <c r="E49" s="12"/>
      <c r="F49" s="12"/>
      <c r="G49" s="12"/>
      <c r="H49" s="12"/>
      <c r="I49" s="12"/>
    </row>
    <row r="50" spans="1:9" ht="17.5" thickBot="1">
      <c r="A50" s="12"/>
      <c r="B50" s="12"/>
      <c r="C50" s="12"/>
      <c r="D50" s="12"/>
      <c r="E50" s="12"/>
      <c r="F50" s="12"/>
      <c r="G50" s="12"/>
      <c r="H50" s="12"/>
      <c r="I50" s="12"/>
    </row>
    <row r="51" spans="1:9" ht="26" thickBot="1">
      <c r="A51" s="12"/>
      <c r="B51" s="12"/>
      <c r="C51" s="216" t="s">
        <v>249</v>
      </c>
      <c r="D51" s="440">
        <v>0.10680000000000001</v>
      </c>
      <c r="E51" s="85"/>
      <c r="F51" s="85"/>
    </row>
    <row r="52" spans="1:9" ht="17.5">
      <c r="A52" s="108" t="s">
        <v>0</v>
      </c>
      <c r="B52" s="12"/>
      <c r="C52" s="12"/>
      <c r="D52" s="12"/>
      <c r="E52" s="12"/>
      <c r="F52" s="12"/>
      <c r="G52" s="12"/>
      <c r="H52" s="12"/>
      <c r="I52" s="12"/>
    </row>
    <row r="53" spans="1:9" ht="17.5">
      <c r="A53" s="108" t="s">
        <v>0</v>
      </c>
      <c r="B53" s="12"/>
      <c r="C53" s="12"/>
      <c r="D53" s="12"/>
      <c r="E53" s="12"/>
      <c r="F53" s="12"/>
      <c r="G53" s="12"/>
      <c r="H53" s="12"/>
      <c r="I53" s="12"/>
    </row>
    <row r="54" spans="1:9" ht="17">
      <c r="A54" s="12"/>
      <c r="B54" s="12"/>
      <c r="C54" s="12"/>
      <c r="D54" s="12"/>
      <c r="E54" s="12"/>
      <c r="F54" s="12"/>
      <c r="G54" s="12"/>
      <c r="H54" s="12"/>
      <c r="I54" s="12"/>
    </row>
    <row r="55" spans="1:9" ht="17">
      <c r="A55" s="12"/>
      <c r="B55" s="12"/>
      <c r="C55" s="12"/>
      <c r="D55" s="12"/>
      <c r="E55" s="12"/>
      <c r="F55" s="12"/>
      <c r="G55" s="12"/>
      <c r="H55" s="12"/>
      <c r="I55" s="12"/>
    </row>
    <row r="56" spans="1:9" ht="17">
      <c r="A56" s="12"/>
      <c r="B56" s="12"/>
      <c r="C56" s="12"/>
      <c r="D56" s="12"/>
      <c r="E56" s="12"/>
      <c r="F56" s="12"/>
      <c r="G56" s="12"/>
      <c r="H56" s="12"/>
      <c r="I56" s="12"/>
    </row>
    <row r="57" spans="1:9" ht="17">
      <c r="A57" s="12"/>
      <c r="B57" s="12"/>
      <c r="C57" s="12"/>
      <c r="D57" s="12"/>
      <c r="E57" s="12"/>
      <c r="F57" s="12"/>
      <c r="G57" s="12"/>
      <c r="H57" s="12"/>
      <c r="I57" s="12"/>
    </row>
    <row r="58" spans="1:9" ht="17">
      <c r="A58" s="12"/>
      <c r="B58" s="12"/>
      <c r="C58" s="12"/>
      <c r="D58" s="12" t="s">
        <v>0</v>
      </c>
      <c r="E58" s="12"/>
      <c r="F58" s="12"/>
      <c r="G58" s="12"/>
      <c r="H58" s="12"/>
      <c r="I58" s="12"/>
    </row>
    <row r="59" spans="1:9" ht="17">
      <c r="A59" s="12"/>
      <c r="B59" s="12"/>
      <c r="C59" s="12"/>
      <c r="D59" s="12" t="s">
        <v>0</v>
      </c>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sheetData>
  <pageMargins left="0.25" right="0.25" top="0.75" bottom="0.75" header="0.3" footer="0.3"/>
  <pageSetup scale="4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84C78-2832-4744-9CC1-C220D4428439}">
  <sheetPr>
    <tabColor rgb="FF92D050"/>
    <pageSetUpPr fitToPage="1"/>
  </sheetPr>
  <dimension ref="A1:J85"/>
  <sheetViews>
    <sheetView view="pageBreakPreview" topLeftCell="A37" zoomScale="60" zoomScaleNormal="80" workbookViewId="0">
      <selection activeCell="E12" sqref="E12"/>
    </sheetView>
  </sheetViews>
  <sheetFormatPr defaultRowHeight="14.5"/>
  <cols>
    <col min="1" max="1" width="74.54296875" customWidth="1"/>
    <col min="2" max="2" width="21.7265625" customWidth="1"/>
    <col min="3" max="3" width="24.54296875" customWidth="1"/>
    <col min="4" max="4" width="29.453125" customWidth="1"/>
    <col min="5" max="5" width="30.54296875" customWidth="1"/>
    <col min="6" max="6" width="32.1796875" customWidth="1"/>
    <col min="7" max="7" width="27" customWidth="1"/>
    <col min="8" max="8" width="13.7265625" customWidth="1"/>
    <col min="9" max="9" width="13.81640625" customWidth="1"/>
    <col min="10" max="11" width="14.1796875" bestFit="1" customWidth="1"/>
  </cols>
  <sheetData>
    <row r="1" spans="1:10" ht="25.5">
      <c r="A1" s="23" t="s">
        <v>1</v>
      </c>
      <c r="B1" s="23"/>
      <c r="C1" s="23"/>
      <c r="D1" s="12"/>
      <c r="E1" s="12"/>
      <c r="F1" s="12"/>
      <c r="G1" s="12"/>
      <c r="H1" s="12"/>
      <c r="I1" s="12"/>
      <c r="J1" s="12"/>
    </row>
    <row r="2" spans="1:10" ht="17.5">
      <c r="A2" s="24" t="s">
        <v>9</v>
      </c>
      <c r="B2" s="24"/>
      <c r="C2" s="24"/>
      <c r="D2" s="12"/>
      <c r="E2" s="12"/>
      <c r="F2" s="12"/>
      <c r="G2" s="12"/>
      <c r="H2" s="12"/>
      <c r="I2" s="12"/>
      <c r="J2" s="12"/>
    </row>
    <row r="3" spans="1:10" ht="17">
      <c r="A3" s="25" t="s">
        <v>480</v>
      </c>
      <c r="B3" s="25"/>
      <c r="C3" s="25"/>
      <c r="D3" s="12"/>
      <c r="E3" s="12"/>
      <c r="F3" s="12"/>
      <c r="G3" s="12"/>
      <c r="H3" s="12"/>
      <c r="I3" s="12"/>
      <c r="J3" s="12"/>
    </row>
    <row r="4" spans="1:10" ht="17">
      <c r="A4" s="25"/>
      <c r="B4" s="25"/>
      <c r="C4" s="25"/>
      <c r="D4" s="12"/>
      <c r="E4" s="12"/>
      <c r="F4" s="12"/>
      <c r="G4" s="12"/>
      <c r="H4" s="12"/>
      <c r="I4" s="12"/>
      <c r="J4" s="12"/>
    </row>
    <row r="5" spans="1:10" ht="17.5" thickBot="1">
      <c r="A5" s="12"/>
      <c r="B5" s="12"/>
      <c r="C5" s="12"/>
      <c r="D5" s="12"/>
      <c r="E5" s="12"/>
      <c r="F5" s="12"/>
      <c r="G5" s="12"/>
      <c r="H5" s="26" t="s">
        <v>0</v>
      </c>
      <c r="I5" s="26"/>
      <c r="J5" s="12"/>
    </row>
    <row r="6" spans="1:10" ht="21.5" thickBot="1">
      <c r="A6" s="27" t="str">
        <f>+'S&amp;D'!A12</f>
        <v>Liquid Transportation Pipeline Carriers</v>
      </c>
      <c r="B6" s="12"/>
      <c r="C6" s="12"/>
      <c r="D6" s="28"/>
      <c r="E6" s="28"/>
      <c r="F6" s="28"/>
      <c r="G6" s="12"/>
      <c r="H6" s="12"/>
      <c r="I6" s="12"/>
      <c r="J6" s="12"/>
    </row>
    <row r="7" spans="1:10" ht="25.5">
      <c r="B7" s="30"/>
      <c r="C7" s="30"/>
      <c r="D7" s="12"/>
      <c r="E7" s="31" t="s">
        <v>211</v>
      </c>
      <c r="F7" s="12"/>
      <c r="G7" s="12"/>
      <c r="H7" s="12"/>
      <c r="I7" s="12"/>
      <c r="J7" s="12"/>
    </row>
    <row r="8" spans="1:10" ht="21.5" thickBot="1">
      <c r="A8" s="30"/>
      <c r="B8" s="30"/>
      <c r="C8" s="30"/>
      <c r="D8" s="28"/>
      <c r="E8" s="36" t="s">
        <v>481</v>
      </c>
      <c r="F8" s="28"/>
      <c r="G8" s="12"/>
      <c r="H8" s="12"/>
      <c r="I8" s="12"/>
      <c r="J8" s="12"/>
    </row>
    <row r="9" spans="1:10" ht="21">
      <c r="A9" s="30"/>
      <c r="B9" s="30"/>
      <c r="C9" s="30"/>
      <c r="D9" s="12"/>
      <c r="E9" s="34"/>
      <c r="F9" s="12"/>
      <c r="G9" s="12"/>
      <c r="H9" s="12"/>
      <c r="I9" s="12"/>
      <c r="J9" s="12"/>
    </row>
    <row r="10" spans="1:10" ht="21">
      <c r="A10" s="30"/>
      <c r="B10" s="30"/>
      <c r="H10" s="12"/>
      <c r="I10" s="12"/>
      <c r="J10" s="12"/>
    </row>
    <row r="11" spans="1:10" ht="21">
      <c r="A11" s="30"/>
      <c r="B11" s="30"/>
      <c r="H11" s="12"/>
      <c r="I11" s="12"/>
      <c r="J11" s="12"/>
    </row>
    <row r="12" spans="1:10" ht="30" customHeight="1" thickBot="1">
      <c r="A12" s="30"/>
      <c r="B12" s="30"/>
      <c r="C12" t="s">
        <v>0</v>
      </c>
      <c r="H12" s="12"/>
      <c r="I12" s="12"/>
      <c r="J12" s="12"/>
    </row>
    <row r="13" spans="1:10" ht="26.25" customHeight="1" thickBot="1">
      <c r="A13" s="168" t="s">
        <v>227</v>
      </c>
      <c r="B13" s="12" t="s">
        <v>0</v>
      </c>
      <c r="C13" s="12"/>
      <c r="D13" s="12"/>
      <c r="E13" s="12"/>
      <c r="F13" s="12"/>
      <c r="G13" s="12"/>
      <c r="H13" s="12"/>
      <c r="I13" s="12"/>
      <c r="J13" s="12"/>
    </row>
    <row r="14" spans="1:10" ht="42" customHeight="1" thickBot="1">
      <c r="A14" s="167" t="s">
        <v>225</v>
      </c>
      <c r="B14" s="166" t="s">
        <v>216</v>
      </c>
      <c r="C14" s="165" t="s">
        <v>228</v>
      </c>
      <c r="D14" s="166" t="s">
        <v>218</v>
      </c>
      <c r="E14" s="166" t="s">
        <v>432</v>
      </c>
      <c r="F14" s="164" t="s">
        <v>217</v>
      </c>
      <c r="G14" s="12"/>
      <c r="H14" s="12"/>
      <c r="I14" s="12"/>
      <c r="J14" s="12"/>
    </row>
    <row r="15" spans="1:10" ht="17">
      <c r="A15" s="161"/>
      <c r="B15" s="114"/>
      <c r="C15" s="114"/>
      <c r="D15" s="114"/>
      <c r="E15" s="114"/>
      <c r="F15" s="162"/>
      <c r="G15" s="12"/>
      <c r="H15" s="12"/>
      <c r="I15" s="12"/>
      <c r="J15" s="12"/>
    </row>
    <row r="16" spans="1:10" ht="17.5">
      <c r="A16" s="209" t="s">
        <v>434</v>
      </c>
      <c r="B16" s="222">
        <v>2.9100000000000001E-2</v>
      </c>
      <c r="C16" s="219">
        <f>+'Beta for CAPM'!I30</f>
        <v>1.1399999999999999</v>
      </c>
      <c r="D16" s="210">
        <f>+B16*C16</f>
        <v>3.3173999999999995E-2</v>
      </c>
      <c r="E16" s="210">
        <f>+'Growth &amp; Inflation Rates'!F93</f>
        <v>4.1099999999999998E-2</v>
      </c>
      <c r="F16" s="211">
        <f>+D16+E16</f>
        <v>7.4273999999999993E-2</v>
      </c>
      <c r="G16" s="12"/>
      <c r="H16" s="12"/>
      <c r="I16" s="12"/>
      <c r="J16" s="12"/>
    </row>
    <row r="17" spans="1:10" ht="17.5">
      <c r="A17" s="209" t="s">
        <v>435</v>
      </c>
      <c r="B17" s="222">
        <v>3.0800000000000001E-2</v>
      </c>
      <c r="C17" s="219">
        <f>+C16</f>
        <v>1.1399999999999999</v>
      </c>
      <c r="D17" s="210">
        <f>+B17*C17</f>
        <v>3.5111999999999997E-2</v>
      </c>
      <c r="E17" s="210">
        <f>+E16</f>
        <v>4.1099999999999998E-2</v>
      </c>
      <c r="F17" s="211">
        <f>+D17+E17</f>
        <v>7.6212000000000002E-2</v>
      </c>
      <c r="G17" s="12"/>
      <c r="H17" s="12"/>
      <c r="I17" s="12"/>
      <c r="J17" s="12"/>
    </row>
    <row r="18" spans="1:10" ht="17.5">
      <c r="A18" s="212"/>
      <c r="B18" s="108"/>
      <c r="C18" s="108"/>
      <c r="D18" s="108"/>
      <c r="E18" s="108"/>
      <c r="F18" s="213"/>
      <c r="G18" s="12"/>
      <c r="H18" s="12"/>
      <c r="I18" s="12"/>
      <c r="J18" s="12"/>
    </row>
    <row r="19" spans="1:10" ht="17.5">
      <c r="A19" s="209" t="s">
        <v>450</v>
      </c>
      <c r="B19" s="222">
        <v>4.5999999999999999E-2</v>
      </c>
      <c r="C19" s="219">
        <f>+C16</f>
        <v>1.1399999999999999</v>
      </c>
      <c r="D19" s="210">
        <f>+B19*C19</f>
        <v>5.2439999999999994E-2</v>
      </c>
      <c r="E19" s="210">
        <f>+E16</f>
        <v>4.1099999999999998E-2</v>
      </c>
      <c r="F19" s="211">
        <f>+D19+E19</f>
        <v>9.3539999999999984E-2</v>
      </c>
      <c r="G19" s="12"/>
      <c r="H19" s="12"/>
      <c r="I19" s="12"/>
      <c r="J19" s="12"/>
    </row>
    <row r="20" spans="1:10" ht="17.5">
      <c r="A20" s="209" t="s">
        <v>468</v>
      </c>
      <c r="B20" s="222">
        <v>6.0699999999999997E-2</v>
      </c>
      <c r="C20" s="219">
        <f>+C16</f>
        <v>1.1399999999999999</v>
      </c>
      <c r="D20" s="210">
        <f>+B20*C20</f>
        <v>6.9197999999999996E-2</v>
      </c>
      <c r="E20" s="210">
        <f>+E17</f>
        <v>4.1099999999999998E-2</v>
      </c>
      <c r="F20" s="211">
        <f>+D20+E20</f>
        <v>0.11029799999999999</v>
      </c>
      <c r="G20" s="12"/>
      <c r="H20" s="12"/>
      <c r="I20" s="12"/>
      <c r="J20" s="12"/>
    </row>
    <row r="21" spans="1:10" ht="17.5">
      <c r="A21" s="209" t="s">
        <v>451</v>
      </c>
      <c r="B21" s="222">
        <v>4.4299999999999999E-2</v>
      </c>
      <c r="C21" s="219">
        <f>+C16</f>
        <v>1.1399999999999999</v>
      </c>
      <c r="D21" s="210">
        <f t="shared" ref="D21:D22" si="0">+B21*C21</f>
        <v>5.0501999999999991E-2</v>
      </c>
      <c r="E21" s="210">
        <f>+E16</f>
        <v>4.1099999999999998E-2</v>
      </c>
      <c r="F21" s="211">
        <f t="shared" ref="F21:F22" si="1">+D21+E21</f>
        <v>9.1601999999999989E-2</v>
      </c>
      <c r="G21" s="12"/>
      <c r="H21" s="12"/>
      <c r="I21" s="12"/>
      <c r="J21" s="12"/>
    </row>
    <row r="22" spans="1:10" ht="17.5">
      <c r="A22" s="209" t="s">
        <v>452</v>
      </c>
      <c r="B22" s="222">
        <v>4.2900000000000001E-2</v>
      </c>
      <c r="C22" s="219">
        <f>+C16</f>
        <v>1.1399999999999999</v>
      </c>
      <c r="D22" s="210">
        <f t="shared" si="0"/>
        <v>4.8905999999999998E-2</v>
      </c>
      <c r="E22" s="210">
        <f>+E16</f>
        <v>4.1099999999999998E-2</v>
      </c>
      <c r="F22" s="211">
        <f t="shared" si="1"/>
        <v>9.0006000000000003E-2</v>
      </c>
      <c r="G22" s="12"/>
      <c r="H22" s="12"/>
      <c r="I22" s="12"/>
      <c r="J22" s="12"/>
    </row>
    <row r="23" spans="1:10" ht="17.5">
      <c r="A23" s="209" t="s">
        <v>0</v>
      </c>
      <c r="B23" s="222" t="s">
        <v>0</v>
      </c>
      <c r="C23" s="220" t="s">
        <v>0</v>
      </c>
      <c r="D23" s="210" t="s">
        <v>0</v>
      </c>
      <c r="E23" s="210" t="s">
        <v>0</v>
      </c>
      <c r="F23" s="211" t="s">
        <v>0</v>
      </c>
      <c r="G23" s="12"/>
      <c r="H23" s="12"/>
      <c r="I23" s="12"/>
      <c r="J23" s="12"/>
    </row>
    <row r="24" spans="1:10" ht="17.5">
      <c r="A24" s="209" t="s">
        <v>221</v>
      </c>
      <c r="B24" s="222">
        <v>4.9399999999999999E-2</v>
      </c>
      <c r="C24" s="219">
        <f>+C16</f>
        <v>1.1399999999999999</v>
      </c>
      <c r="D24" s="210">
        <f>+B24*C24</f>
        <v>5.6315999999999998E-2</v>
      </c>
      <c r="E24" s="210">
        <f>+E16</f>
        <v>4.1099999999999998E-2</v>
      </c>
      <c r="F24" s="211">
        <f>+D24+E24</f>
        <v>9.7416000000000003E-2</v>
      </c>
      <c r="G24" s="12"/>
      <c r="H24" s="12"/>
      <c r="I24" s="12"/>
      <c r="J24" s="12"/>
    </row>
    <row r="25" spans="1:10" ht="17.5">
      <c r="A25" s="209" t="s">
        <v>0</v>
      </c>
      <c r="B25" s="222" t="s">
        <v>0</v>
      </c>
      <c r="C25" s="220" t="s">
        <v>0</v>
      </c>
      <c r="D25" s="210" t="s">
        <v>0</v>
      </c>
      <c r="E25" s="210" t="s">
        <v>0</v>
      </c>
      <c r="F25" s="211" t="s">
        <v>0</v>
      </c>
      <c r="G25" s="12"/>
      <c r="H25" s="12"/>
      <c r="I25" s="12"/>
      <c r="J25" s="12"/>
    </row>
    <row r="26" spans="1:10" ht="17.5">
      <c r="A26" s="209" t="s">
        <v>469</v>
      </c>
      <c r="B26" s="222">
        <v>5.7000000000000002E-2</v>
      </c>
      <c r="C26" s="219">
        <f>+C16</f>
        <v>1.1399999999999999</v>
      </c>
      <c r="D26" s="210">
        <f>+B26*C26</f>
        <v>6.4979999999999996E-2</v>
      </c>
      <c r="E26" s="210">
        <f>+E16</f>
        <v>4.1099999999999998E-2</v>
      </c>
      <c r="F26" s="211">
        <f>+D26+E26</f>
        <v>0.10607999999999999</v>
      </c>
      <c r="G26" s="12"/>
      <c r="H26" s="12"/>
      <c r="I26" s="12"/>
      <c r="J26" s="12"/>
    </row>
    <row r="27" spans="1:10" ht="17.5">
      <c r="A27" s="209" t="s">
        <v>0</v>
      </c>
      <c r="B27" s="222" t="s">
        <v>0</v>
      </c>
      <c r="C27" s="220" t="s">
        <v>0</v>
      </c>
      <c r="D27" s="210" t="s">
        <v>0</v>
      </c>
      <c r="E27" s="210" t="s">
        <v>0</v>
      </c>
      <c r="F27" s="211" t="s">
        <v>0</v>
      </c>
      <c r="G27" s="12"/>
      <c r="H27" s="12"/>
      <c r="I27" s="12"/>
      <c r="J27" s="12"/>
    </row>
    <row r="28" spans="1:10" ht="17.5">
      <c r="A28" s="209" t="s">
        <v>222</v>
      </c>
      <c r="B28" s="222">
        <v>6.4500000000000002E-2</v>
      </c>
      <c r="C28" s="219">
        <f>+C16</f>
        <v>1.1399999999999999</v>
      </c>
      <c r="D28" s="210">
        <f>+B28*C28</f>
        <v>7.3529999999999998E-2</v>
      </c>
      <c r="E28" s="210">
        <f>+E16</f>
        <v>4.1099999999999998E-2</v>
      </c>
      <c r="F28" s="211">
        <f>+D28+E28</f>
        <v>0.11463</v>
      </c>
      <c r="G28" s="12"/>
      <c r="H28" s="12"/>
      <c r="I28" s="12"/>
      <c r="J28" s="12"/>
    </row>
    <row r="29" spans="1:10" ht="17.5">
      <c r="A29" s="209" t="s">
        <v>223</v>
      </c>
      <c r="B29" s="222">
        <v>5.1900000000000002E-2</v>
      </c>
      <c r="C29" s="219">
        <f>+C16</f>
        <v>1.1399999999999999</v>
      </c>
      <c r="D29" s="210">
        <f>+B29*C29</f>
        <v>5.9165999999999996E-2</v>
      </c>
      <c r="E29" s="210">
        <f>+E16</f>
        <v>4.1099999999999998E-2</v>
      </c>
      <c r="F29" s="211">
        <f>+D29+E29</f>
        <v>0.10026599999999999</v>
      </c>
      <c r="G29" s="12"/>
      <c r="H29" s="12"/>
      <c r="I29" s="12"/>
      <c r="J29" s="12"/>
    </row>
    <row r="30" spans="1:10" ht="17.5">
      <c r="A30" s="209"/>
      <c r="B30" s="222"/>
      <c r="C30" s="219"/>
      <c r="D30" s="210"/>
      <c r="E30" s="210"/>
      <c r="F30" s="211"/>
      <c r="G30" s="12"/>
      <c r="H30" s="12"/>
      <c r="I30" s="12"/>
      <c r="J30" s="12"/>
    </row>
    <row r="31" spans="1:10" ht="17.5">
      <c r="A31" s="209" t="s">
        <v>453</v>
      </c>
      <c r="B31" s="222">
        <v>7.17E-2</v>
      </c>
      <c r="C31" s="219">
        <f>+C16</f>
        <v>1.1399999999999999</v>
      </c>
      <c r="D31" s="210">
        <f>+B31*C31</f>
        <v>8.1737999999999991E-2</v>
      </c>
      <c r="E31" s="210">
        <f>+E16</f>
        <v>4.1099999999999998E-2</v>
      </c>
      <c r="F31" s="211">
        <f>+D31+E31</f>
        <v>0.12283799999999999</v>
      </c>
      <c r="G31" s="12"/>
      <c r="H31" s="12"/>
      <c r="I31" s="12"/>
      <c r="J31" s="12"/>
    </row>
    <row r="32" spans="1:10" ht="17.5">
      <c r="A32" s="209" t="s">
        <v>454</v>
      </c>
      <c r="B32" s="222">
        <v>6.2199999999999998E-2</v>
      </c>
      <c r="C32" s="219">
        <f>+C17</f>
        <v>1.1399999999999999</v>
      </c>
      <c r="D32" s="210">
        <f>+B32*C32</f>
        <v>7.0907999999999999E-2</v>
      </c>
      <c r="E32" s="210">
        <f>+E16</f>
        <v>4.1099999999999998E-2</v>
      </c>
      <c r="F32" s="211">
        <f>+D32+E32</f>
        <v>0.112008</v>
      </c>
      <c r="G32" s="12"/>
      <c r="H32" s="12"/>
      <c r="I32" s="12"/>
      <c r="J32" s="12"/>
    </row>
    <row r="33" spans="1:10" ht="17.5">
      <c r="A33" s="209" t="s">
        <v>455</v>
      </c>
      <c r="B33" s="222">
        <v>5.5E-2</v>
      </c>
      <c r="C33" s="219">
        <f>+C16</f>
        <v>1.1399999999999999</v>
      </c>
      <c r="D33" s="210">
        <f>+B33*C33</f>
        <v>6.2699999999999992E-2</v>
      </c>
      <c r="E33" s="210">
        <f>+E16</f>
        <v>4.1099999999999998E-2</v>
      </c>
      <c r="F33" s="211">
        <f>+D33+E33</f>
        <v>0.10379999999999999</v>
      </c>
      <c r="G33" s="12"/>
      <c r="H33" s="12"/>
      <c r="I33" s="12"/>
      <c r="J33" s="12"/>
    </row>
    <row r="34" spans="1:10" ht="17.5">
      <c r="A34" s="209"/>
      <c r="B34" s="222"/>
      <c r="C34" s="219"/>
      <c r="D34" s="210"/>
      <c r="E34" s="210"/>
      <c r="F34" s="211"/>
      <c r="G34" s="12"/>
      <c r="H34" s="12"/>
      <c r="I34" s="12"/>
      <c r="J34" s="12"/>
    </row>
    <row r="35" spans="1:10" ht="17.5">
      <c r="A35" s="462" t="s">
        <v>444</v>
      </c>
      <c r="B35" s="451">
        <v>0</v>
      </c>
      <c r="C35" s="219">
        <f>+C16</f>
        <v>1.1399999999999999</v>
      </c>
      <c r="D35" s="210">
        <f>+B35*C35</f>
        <v>0</v>
      </c>
      <c r="E35" s="210">
        <v>0</v>
      </c>
      <c r="F35" s="211">
        <f>+D35+E35</f>
        <v>0</v>
      </c>
      <c r="G35" s="12"/>
      <c r="H35" s="12"/>
      <c r="I35" s="12"/>
      <c r="J35" s="12"/>
    </row>
    <row r="36" spans="1:10" ht="17.5" thickBot="1">
      <c r="A36" s="432"/>
      <c r="B36" s="28"/>
      <c r="C36" s="28"/>
      <c r="D36" s="28"/>
      <c r="E36" s="28"/>
      <c r="F36" s="433"/>
      <c r="G36" s="12"/>
      <c r="H36" s="12"/>
      <c r="I36" s="12"/>
      <c r="J36" s="12"/>
    </row>
    <row r="37" spans="1:10" ht="17">
      <c r="A37" s="12"/>
      <c r="B37" s="12"/>
      <c r="C37" s="12"/>
      <c r="D37" s="12"/>
      <c r="E37" s="12"/>
      <c r="F37" s="12"/>
      <c r="G37" s="12"/>
      <c r="H37" s="12"/>
      <c r="I37" s="12"/>
      <c r="J37" s="12"/>
    </row>
    <row r="38" spans="1:10" ht="27" customHeight="1" thickBot="1">
      <c r="A38" s="12"/>
      <c r="B38" s="12"/>
      <c r="C38" s="12"/>
      <c r="D38" s="12"/>
      <c r="E38" s="12"/>
      <c r="F38" s="12"/>
      <c r="G38" s="12" t="s">
        <v>0</v>
      </c>
      <c r="H38" s="12"/>
      <c r="I38" s="12"/>
      <c r="J38" s="12"/>
    </row>
    <row r="39" spans="1:10" ht="18" thickBot="1">
      <c r="A39" s="168" t="s">
        <v>226</v>
      </c>
      <c r="B39" s="12"/>
      <c r="C39" s="12"/>
      <c r="D39" s="12"/>
      <c r="E39" s="12"/>
      <c r="F39" s="12"/>
      <c r="G39" s="12"/>
      <c r="H39" s="12"/>
      <c r="I39" s="12"/>
      <c r="J39" s="12"/>
    </row>
    <row r="40" spans="1:10" ht="42.5" thickBot="1">
      <c r="A40" s="167" t="s">
        <v>224</v>
      </c>
      <c r="B40" s="166" t="s">
        <v>216</v>
      </c>
      <c r="C40" s="165" t="s">
        <v>228</v>
      </c>
      <c r="D40" s="166" t="s">
        <v>219</v>
      </c>
      <c r="E40" s="166" t="s">
        <v>220</v>
      </c>
      <c r="F40" s="166" t="s">
        <v>432</v>
      </c>
      <c r="G40" s="164" t="s">
        <v>217</v>
      </c>
      <c r="H40" s="12"/>
      <c r="I40" s="12"/>
      <c r="J40" s="12"/>
    </row>
    <row r="41" spans="1:10" ht="17">
      <c r="A41" s="161"/>
      <c r="B41" s="114"/>
      <c r="C41" s="114"/>
      <c r="D41" s="114"/>
      <c r="E41" s="114"/>
      <c r="F41" s="114"/>
      <c r="G41" s="162"/>
      <c r="H41" s="12"/>
      <c r="I41" s="12"/>
      <c r="J41" s="12"/>
    </row>
    <row r="42" spans="1:10" ht="17.5">
      <c r="A42" s="209" t="s">
        <v>434</v>
      </c>
      <c r="B42" s="222">
        <f>+B16</f>
        <v>2.9100000000000001E-2</v>
      </c>
      <c r="C42" s="218">
        <f>+C16</f>
        <v>1.1399999999999999</v>
      </c>
      <c r="D42" s="210">
        <f>+B42*C42*0.75</f>
        <v>2.4880499999999996E-2</v>
      </c>
      <c r="E42" s="222">
        <f>+B42*0.25</f>
        <v>7.2750000000000002E-3</v>
      </c>
      <c r="F42" s="210">
        <f>+E16</f>
        <v>4.1099999999999998E-2</v>
      </c>
      <c r="G42" s="211">
        <f>+D42+E42+F42</f>
        <v>7.3255500000000001E-2</v>
      </c>
      <c r="H42" s="12"/>
      <c r="I42" s="12"/>
      <c r="J42" s="12"/>
    </row>
    <row r="43" spans="1:10" ht="17.5">
      <c r="A43" s="209" t="s">
        <v>435</v>
      </c>
      <c r="B43" s="222">
        <f>+B17</f>
        <v>3.0800000000000001E-2</v>
      </c>
      <c r="C43" s="218">
        <f>+C17</f>
        <v>1.1399999999999999</v>
      </c>
      <c r="D43" s="210">
        <f>+B43*C43*0.75</f>
        <v>2.6333999999999996E-2</v>
      </c>
      <c r="E43" s="222">
        <f>+B43*0.25</f>
        <v>7.7000000000000002E-3</v>
      </c>
      <c r="F43" s="210">
        <f>+E17</f>
        <v>4.1099999999999998E-2</v>
      </c>
      <c r="G43" s="211">
        <f>+D43+E43+F43</f>
        <v>7.5133999999999992E-2</v>
      </c>
      <c r="H43" s="12"/>
      <c r="I43" s="12"/>
      <c r="J43" s="12"/>
    </row>
    <row r="44" spans="1:10" ht="17.5">
      <c r="A44" s="212"/>
      <c r="B44" s="108"/>
      <c r="C44" s="108"/>
      <c r="D44" s="108"/>
      <c r="E44" s="108"/>
      <c r="F44" s="108"/>
      <c r="G44" s="213"/>
      <c r="H44" s="12"/>
      <c r="I44" s="12"/>
      <c r="J44" s="12"/>
    </row>
    <row r="45" spans="1:10" ht="17.5">
      <c r="A45" s="209" t="str">
        <f t="shared" ref="A45:C46" si="2">+A19</f>
        <v>Damodaran Implied ERP Ex Ante   Trailing 12 mo Cash Yield (3)</v>
      </c>
      <c r="B45" s="222">
        <f t="shared" si="2"/>
        <v>4.5999999999999999E-2</v>
      </c>
      <c r="C45" s="218">
        <f t="shared" si="2"/>
        <v>1.1399999999999999</v>
      </c>
      <c r="D45" s="210">
        <f>+B45*C45*0.75</f>
        <v>3.9329999999999997E-2</v>
      </c>
      <c r="E45" s="222">
        <f>+B45*0.25</f>
        <v>1.15E-2</v>
      </c>
      <c r="F45" s="210">
        <f>+E19</f>
        <v>4.1099999999999998E-2</v>
      </c>
      <c r="G45" s="211">
        <f>+D45+E45+F45</f>
        <v>9.1929999999999998E-2</v>
      </c>
      <c r="H45" s="12"/>
      <c r="I45" s="12"/>
      <c r="J45" s="12"/>
    </row>
    <row r="46" spans="1:10" ht="17.5">
      <c r="A46" s="209" t="str">
        <f t="shared" ref="A46:B48" si="3">+A20</f>
        <v>Damodaran Implied ERP Ex Ante   Avg CF Yield Last 10 Yrs (3)</v>
      </c>
      <c r="B46" s="222">
        <f t="shared" si="3"/>
        <v>6.0699999999999997E-2</v>
      </c>
      <c r="C46" s="218">
        <f t="shared" si="2"/>
        <v>1.1399999999999999</v>
      </c>
      <c r="D46" s="210">
        <f>+B46*C46*0.75</f>
        <v>5.18985E-2</v>
      </c>
      <c r="E46" s="222">
        <f>+B46*0.25</f>
        <v>1.5174999999999999E-2</v>
      </c>
      <c r="F46" s="210">
        <f>+E20</f>
        <v>4.1099999999999998E-2</v>
      </c>
      <c r="G46" s="211">
        <f>+D46+E46+F46</f>
        <v>0.10817349999999999</v>
      </c>
      <c r="H46" s="12"/>
      <c r="I46" s="12"/>
      <c r="J46" s="12"/>
    </row>
    <row r="47" spans="1:10" ht="17.5">
      <c r="A47" s="209" t="str">
        <f t="shared" si="3"/>
        <v>Damodaran Implied ERP Ex Ante   Net Cash Yield (3)</v>
      </c>
      <c r="B47" s="222">
        <f t="shared" si="3"/>
        <v>4.4299999999999999E-2</v>
      </c>
      <c r="C47" s="218">
        <f>+C21</f>
        <v>1.1399999999999999</v>
      </c>
      <c r="D47" s="210">
        <f>+B47*C47*0.75</f>
        <v>3.7876499999999994E-2</v>
      </c>
      <c r="E47" s="222">
        <f>+B47*0.25</f>
        <v>1.1075E-2</v>
      </c>
      <c r="F47" s="210">
        <f>+E21</f>
        <v>4.1099999999999998E-2</v>
      </c>
      <c r="G47" s="211">
        <f>+D47+E47+F47</f>
        <v>9.0051499999999993E-2</v>
      </c>
      <c r="H47" s="12"/>
      <c r="I47" s="12"/>
      <c r="J47" s="12"/>
    </row>
    <row r="48" spans="1:10" ht="17.5">
      <c r="A48" s="209" t="str">
        <f t="shared" si="3"/>
        <v>Damodaran Implied ERP Ex Ante   Norm. Earnings &amp; Payout (3)</v>
      </c>
      <c r="B48" s="222">
        <f t="shared" si="3"/>
        <v>4.2900000000000001E-2</v>
      </c>
      <c r="C48" s="218">
        <f>+C22</f>
        <v>1.1399999999999999</v>
      </c>
      <c r="D48" s="210">
        <f>+B48*C48*0.75</f>
        <v>3.6679499999999997E-2</v>
      </c>
      <c r="E48" s="222">
        <f>+B48*0.25</f>
        <v>1.0725E-2</v>
      </c>
      <c r="F48" s="210">
        <f>+E22</f>
        <v>4.1099999999999998E-2</v>
      </c>
      <c r="G48" s="211">
        <f>+D48+E48+F48</f>
        <v>8.8504499999999986E-2</v>
      </c>
      <c r="H48" s="12"/>
      <c r="I48" s="12"/>
      <c r="J48" s="12"/>
    </row>
    <row r="49" spans="1:10" ht="17.5">
      <c r="A49" s="209" t="s">
        <v>0</v>
      </c>
      <c r="B49" s="222" t="s">
        <v>0</v>
      </c>
      <c r="C49" s="210" t="s">
        <v>0</v>
      </c>
      <c r="D49" s="210" t="s">
        <v>0</v>
      </c>
      <c r="E49" s="222" t="s">
        <v>0</v>
      </c>
      <c r="F49" s="210" t="s">
        <v>0</v>
      </c>
      <c r="G49" s="211" t="s">
        <v>0</v>
      </c>
      <c r="H49" s="12"/>
      <c r="I49" s="12"/>
      <c r="J49" s="12"/>
    </row>
    <row r="50" spans="1:10" ht="17.5">
      <c r="A50" s="209" t="s">
        <v>221</v>
      </c>
      <c r="B50" s="222">
        <f>+B24</f>
        <v>4.9399999999999999E-2</v>
      </c>
      <c r="C50" s="218">
        <f>+C24</f>
        <v>1.1399999999999999</v>
      </c>
      <c r="D50" s="210">
        <f>+B50*C50*0.75</f>
        <v>4.2236999999999997E-2</v>
      </c>
      <c r="E50" s="222">
        <f>+B50*0.25</f>
        <v>1.235E-2</v>
      </c>
      <c r="F50" s="210">
        <f>+E24</f>
        <v>4.1099999999999998E-2</v>
      </c>
      <c r="G50" s="211">
        <f>+D50+E50+F50</f>
        <v>9.5686999999999994E-2</v>
      </c>
    </row>
    <row r="51" spans="1:10" ht="17.5">
      <c r="A51" s="209" t="s">
        <v>0</v>
      </c>
      <c r="B51" s="222" t="s">
        <v>0</v>
      </c>
      <c r="C51" s="210" t="s">
        <v>0</v>
      </c>
      <c r="D51" s="210" t="s">
        <v>0</v>
      </c>
      <c r="E51" s="222" t="s">
        <v>0</v>
      </c>
      <c r="F51" s="210" t="s">
        <v>0</v>
      </c>
      <c r="G51" s="211" t="s">
        <v>0</v>
      </c>
    </row>
    <row r="52" spans="1:10" ht="17.5">
      <c r="A52" s="209" t="s">
        <v>469</v>
      </c>
      <c r="B52" s="222">
        <f>+B26</f>
        <v>5.7000000000000002E-2</v>
      </c>
      <c r="C52" s="218">
        <f>+C26</f>
        <v>1.1399999999999999</v>
      </c>
      <c r="D52" s="210">
        <f>+B52*C52*0.75</f>
        <v>4.8735000000000001E-2</v>
      </c>
      <c r="E52" s="222">
        <f>+B52*0.25</f>
        <v>1.4250000000000001E-2</v>
      </c>
      <c r="F52" s="210">
        <f>+E26</f>
        <v>4.1099999999999998E-2</v>
      </c>
      <c r="G52" s="211">
        <f>+D52+E52+F52</f>
        <v>0.104085</v>
      </c>
    </row>
    <row r="53" spans="1:10" ht="17.5">
      <c r="A53" s="209" t="s">
        <v>0</v>
      </c>
      <c r="B53" s="222" t="s">
        <v>0</v>
      </c>
      <c r="C53" s="210" t="s">
        <v>0</v>
      </c>
      <c r="D53" s="210" t="s">
        <v>0</v>
      </c>
      <c r="E53" s="222" t="s">
        <v>0</v>
      </c>
      <c r="F53" s="210" t="s">
        <v>0</v>
      </c>
      <c r="G53" s="211" t="s">
        <v>0</v>
      </c>
    </row>
    <row r="54" spans="1:10" ht="17.5">
      <c r="A54" s="209" t="s">
        <v>222</v>
      </c>
      <c r="B54" s="222">
        <f>+B28</f>
        <v>6.4500000000000002E-2</v>
      </c>
      <c r="C54" s="218">
        <f>+C28</f>
        <v>1.1399999999999999</v>
      </c>
      <c r="D54" s="210">
        <f>+B54*C54*0.75</f>
        <v>5.5147500000000002E-2</v>
      </c>
      <c r="E54" s="222">
        <f>+B54*0.25</f>
        <v>1.6125E-2</v>
      </c>
      <c r="F54" s="210">
        <f>+E28</f>
        <v>4.1099999999999998E-2</v>
      </c>
      <c r="G54" s="211">
        <f>+D54+E54+F54</f>
        <v>0.1123725</v>
      </c>
    </row>
    <row r="55" spans="1:10" ht="17.5">
      <c r="A55" s="209" t="s">
        <v>223</v>
      </c>
      <c r="B55" s="222">
        <f>+B29</f>
        <v>5.1900000000000002E-2</v>
      </c>
      <c r="C55" s="218">
        <f>+C29</f>
        <v>1.1399999999999999</v>
      </c>
      <c r="D55" s="210">
        <f>+B55*C55*0.75</f>
        <v>4.4374499999999997E-2</v>
      </c>
      <c r="E55" s="222">
        <f>+B55*0.25</f>
        <v>1.2975E-2</v>
      </c>
      <c r="F55" s="210">
        <f>+E29</f>
        <v>4.1099999999999998E-2</v>
      </c>
      <c r="G55" s="211">
        <f>+D55+E55+F55</f>
        <v>9.8449499999999995E-2</v>
      </c>
    </row>
    <row r="56" spans="1:10" ht="17.5">
      <c r="A56" s="209"/>
      <c r="B56" s="222"/>
      <c r="C56" s="218"/>
      <c r="D56" s="210"/>
      <c r="E56" s="222"/>
      <c r="F56" s="210"/>
      <c r="G56" s="211"/>
    </row>
    <row r="57" spans="1:10" ht="17.5">
      <c r="A57" s="209" t="str">
        <f t="shared" ref="A57:C58" si="4">+A31</f>
        <v>KROLL Ex Post  - ERP Historical (8)</v>
      </c>
      <c r="B57" s="222">
        <f t="shared" si="4"/>
        <v>7.17E-2</v>
      </c>
      <c r="C57" s="218">
        <f t="shared" si="4"/>
        <v>1.1399999999999999</v>
      </c>
      <c r="D57" s="210">
        <f>+B57*C57*0.75</f>
        <v>6.1303499999999997E-2</v>
      </c>
      <c r="E57" s="222">
        <f>+B57*0.25</f>
        <v>1.7925E-2</v>
      </c>
      <c r="F57" s="210">
        <f>+E31</f>
        <v>4.1099999999999998E-2</v>
      </c>
      <c r="G57" s="211">
        <f>+D57+E57+F57</f>
        <v>0.12032849999999999</v>
      </c>
    </row>
    <row r="58" spans="1:10" ht="17.5">
      <c r="A58" s="209" t="str">
        <f t="shared" si="4"/>
        <v>KROLL Ex Post - ERP Supply Side (8)</v>
      </c>
      <c r="B58" s="222">
        <f t="shared" si="4"/>
        <v>6.2199999999999998E-2</v>
      </c>
      <c r="C58" s="218">
        <f t="shared" si="4"/>
        <v>1.1399999999999999</v>
      </c>
      <c r="D58" s="210">
        <f>+B58*C58*0.75</f>
        <v>5.3180999999999999E-2</v>
      </c>
      <c r="E58" s="222">
        <f>+B58*0.25</f>
        <v>1.555E-2</v>
      </c>
      <c r="F58" s="210">
        <f>+E32</f>
        <v>4.1099999999999998E-2</v>
      </c>
      <c r="G58" s="211">
        <f>+D58+E58+F58</f>
        <v>0.109831</v>
      </c>
    </row>
    <row r="59" spans="1:10" ht="17.5">
      <c r="A59" s="209" t="str">
        <f>+A33</f>
        <v>KROLL Ex Ante - ERP Conditional (8)</v>
      </c>
      <c r="B59" s="222">
        <f>+B33</f>
        <v>5.5E-2</v>
      </c>
      <c r="C59" s="218">
        <f>+C29</f>
        <v>1.1399999999999999</v>
      </c>
      <c r="D59" s="210">
        <f>+B59*C59*0.75</f>
        <v>4.7024999999999997E-2</v>
      </c>
      <c r="E59" s="222">
        <f>+B59*0.25</f>
        <v>1.375E-2</v>
      </c>
      <c r="F59" s="210">
        <f>+E33</f>
        <v>4.1099999999999998E-2</v>
      </c>
      <c r="G59" s="211">
        <f>+D59+E59+F59</f>
        <v>0.10187499999999999</v>
      </c>
    </row>
    <row r="60" spans="1:10" ht="17.5">
      <c r="A60" s="209"/>
      <c r="B60" s="222"/>
      <c r="C60" s="218"/>
      <c r="D60" s="210"/>
      <c r="E60" s="222"/>
      <c r="F60" s="210"/>
      <c r="G60" s="211"/>
    </row>
    <row r="61" spans="1:10" ht="17.5">
      <c r="A61" s="462" t="s">
        <v>444</v>
      </c>
      <c r="B61" s="222">
        <f>+B35</f>
        <v>0</v>
      </c>
      <c r="C61" s="218">
        <f>+C33</f>
        <v>1.1399999999999999</v>
      </c>
      <c r="D61" s="210">
        <f>+B61*C61*0.75</f>
        <v>0</v>
      </c>
      <c r="E61" s="222">
        <f>+B61*0.25</f>
        <v>0</v>
      </c>
      <c r="F61" s="210">
        <v>0</v>
      </c>
      <c r="G61" s="211">
        <f>+D61+E61+F61</f>
        <v>0</v>
      </c>
    </row>
    <row r="62" spans="1:10" ht="15" thickBot="1">
      <c r="A62" s="316"/>
      <c r="B62" s="159"/>
      <c r="C62" s="159"/>
      <c r="D62" s="159"/>
      <c r="E62" s="159"/>
      <c r="F62" s="159"/>
      <c r="G62" s="317"/>
    </row>
    <row r="64" spans="1:10" ht="17.5">
      <c r="A64" s="62" t="s">
        <v>72</v>
      </c>
      <c r="E64" s="221" t="s">
        <v>0</v>
      </c>
    </row>
    <row r="65" spans="1:7">
      <c r="A65" s="169" t="s">
        <v>0</v>
      </c>
      <c r="E65" s="221" t="s">
        <v>0</v>
      </c>
    </row>
    <row r="66" spans="1:7" ht="17">
      <c r="A66" s="43" t="s">
        <v>445</v>
      </c>
      <c r="B66" s="12"/>
      <c r="C66" s="12"/>
      <c r="D66" s="12"/>
      <c r="E66" s="12"/>
      <c r="F66" s="12"/>
      <c r="G66" s="12"/>
    </row>
    <row r="67" spans="1:7" ht="17">
      <c r="A67" s="43" t="s">
        <v>0</v>
      </c>
      <c r="B67" s="12"/>
      <c r="C67" s="12"/>
      <c r="D67" s="12"/>
      <c r="E67" s="12"/>
      <c r="F67" s="12"/>
      <c r="G67" s="12"/>
    </row>
    <row r="68" spans="1:7" ht="17">
      <c r="A68" s="43" t="s">
        <v>509</v>
      </c>
      <c r="B68" s="12"/>
      <c r="C68" s="12"/>
      <c r="D68" s="12"/>
      <c r="E68" s="12"/>
      <c r="F68" s="12"/>
      <c r="G68" s="12"/>
    </row>
    <row r="69" spans="1:7" ht="17">
      <c r="A69" s="156" t="s">
        <v>446</v>
      </c>
      <c r="C69" s="12"/>
      <c r="D69" s="12"/>
      <c r="E69" s="12"/>
      <c r="F69" s="12"/>
      <c r="G69" s="12"/>
    </row>
    <row r="70" spans="1:7" ht="17">
      <c r="A70" s="43" t="s">
        <v>0</v>
      </c>
      <c r="B70" s="12"/>
      <c r="C70" s="12"/>
      <c r="D70" s="12"/>
      <c r="E70" s="12"/>
      <c r="F70" s="12"/>
      <c r="G70" s="12"/>
    </row>
    <row r="71" spans="1:7" ht="17">
      <c r="A71" s="43" t="s">
        <v>510</v>
      </c>
      <c r="B71" s="12"/>
      <c r="C71" s="12"/>
      <c r="D71" s="12"/>
      <c r="E71" s="12"/>
      <c r="F71" s="12"/>
      <c r="G71" s="12"/>
    </row>
    <row r="72" spans="1:7" ht="17">
      <c r="A72" s="156" t="s">
        <v>447</v>
      </c>
      <c r="B72" s="12"/>
      <c r="C72" s="12"/>
      <c r="D72" s="12"/>
      <c r="E72" s="12"/>
      <c r="F72" s="12"/>
      <c r="G72" s="12"/>
    </row>
    <row r="73" spans="1:7" ht="17">
      <c r="A73" s="43"/>
      <c r="B73" s="12"/>
      <c r="C73" s="12"/>
      <c r="D73" s="12"/>
      <c r="E73" s="12"/>
      <c r="F73" s="12"/>
      <c r="G73" s="12"/>
    </row>
    <row r="74" spans="1:7" ht="17">
      <c r="A74" s="43" t="s">
        <v>511</v>
      </c>
      <c r="B74" s="12"/>
      <c r="C74" s="12"/>
      <c r="D74" s="12"/>
      <c r="E74" s="12"/>
      <c r="F74" s="12"/>
      <c r="G74" s="12"/>
    </row>
    <row r="75" spans="1:7" ht="17">
      <c r="A75" s="156" t="s">
        <v>512</v>
      </c>
      <c r="B75" s="12"/>
      <c r="C75" s="12"/>
      <c r="D75" s="12"/>
      <c r="E75" s="12"/>
      <c r="F75" s="12"/>
      <c r="G75" s="12"/>
    </row>
    <row r="76" spans="1:7" ht="17">
      <c r="A76" s="43"/>
      <c r="B76" s="12"/>
      <c r="C76" s="12"/>
      <c r="D76" s="12"/>
      <c r="E76" s="12"/>
      <c r="F76" s="12"/>
      <c r="G76" s="12"/>
    </row>
    <row r="77" spans="1:7" ht="17">
      <c r="A77" s="43" t="s">
        <v>513</v>
      </c>
      <c r="B77" s="12"/>
      <c r="C77" s="12"/>
      <c r="D77" s="12"/>
      <c r="E77" s="12"/>
      <c r="F77" s="12"/>
      <c r="G77" s="12"/>
    </row>
    <row r="78" spans="1:7" ht="17">
      <c r="A78" s="156" t="s">
        <v>448</v>
      </c>
      <c r="B78" s="12"/>
      <c r="C78" s="12"/>
      <c r="D78" s="12"/>
      <c r="E78" s="12"/>
      <c r="F78" s="12"/>
      <c r="G78" s="12"/>
    </row>
    <row r="79" spans="1:7">
      <c r="A79" s="169"/>
    </row>
    <row r="80" spans="1:7" ht="17">
      <c r="A80" s="43" t="s">
        <v>514</v>
      </c>
    </row>
    <row r="81" spans="1:8" ht="17">
      <c r="A81" s="43" t="s">
        <v>0</v>
      </c>
    </row>
    <row r="82" spans="1:8" ht="17">
      <c r="A82" s="43" t="s">
        <v>515</v>
      </c>
      <c r="H82" s="12"/>
    </row>
    <row r="83" spans="1:8" ht="17">
      <c r="A83" s="156" t="s">
        <v>449</v>
      </c>
      <c r="H83" s="12"/>
    </row>
    <row r="84" spans="1:8" ht="21.5" thickBot="1">
      <c r="A84" s="160"/>
      <c r="B84" s="160"/>
      <c r="C84" s="160"/>
      <c r="D84" s="28"/>
      <c r="E84" s="36"/>
      <c r="F84" s="28"/>
      <c r="G84" s="159"/>
      <c r="H84" s="12"/>
    </row>
    <row r="85" spans="1:8" ht="17">
      <c r="H85" s="12"/>
    </row>
  </sheetData>
  <hyperlinks>
    <hyperlink ref="A83" r:id="rId1" xr:uid="{F03B63DE-C233-41B1-9894-459B2DA79F2F}"/>
    <hyperlink ref="A78" r:id="rId2" xr:uid="{79516A23-F1BD-4E56-9BA3-751333A511C5}"/>
    <hyperlink ref="A69" r:id="rId3" xr:uid="{355F870B-879D-45FC-A055-B86CCBC18C65}"/>
    <hyperlink ref="A72" r:id="rId4" xr:uid="{888A0A94-3397-4BD5-97E2-2F5F702DD1C3}"/>
    <hyperlink ref="A75" r:id="rId5" xr:uid="{F91AEEC6-A2DB-4379-8D68-2FB620B12048}"/>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5"/>
  <sheetViews>
    <sheetView view="pageBreakPreview" topLeftCell="A13" zoomScale="70" zoomScaleNormal="80" zoomScaleSheetLayoutView="70" workbookViewId="0">
      <selection activeCell="I33" sqref="I33"/>
    </sheetView>
  </sheetViews>
  <sheetFormatPr defaultRowHeight="14.5"/>
  <cols>
    <col min="1" max="1" width="45.1796875" customWidth="1"/>
    <col min="2" max="2" width="10.81640625" bestFit="1" customWidth="1"/>
    <col min="3" max="3" width="19.1796875" bestFit="1" customWidth="1"/>
    <col min="4" max="4" width="15.26953125" customWidth="1"/>
    <col min="5" max="5" width="27.1796875" customWidth="1"/>
    <col min="6" max="6" width="22" customWidth="1"/>
    <col min="7" max="7" width="29.26953125" customWidth="1"/>
    <col min="8" max="8" width="37" customWidth="1"/>
    <col min="9" max="9" width="24.54296875" customWidth="1"/>
    <col min="10" max="10" width="24.1796875" customWidth="1"/>
    <col min="12" max="12" width="10.54296875" customWidth="1"/>
  </cols>
  <sheetData>
    <row r="1" spans="1:11" ht="25.5">
      <c r="A1" s="23" t="s">
        <v>1</v>
      </c>
      <c r="B1" s="12"/>
      <c r="C1" s="12"/>
      <c r="D1" s="12"/>
      <c r="E1" s="12"/>
      <c r="F1" s="12"/>
      <c r="G1" s="12"/>
      <c r="H1" s="12"/>
      <c r="I1" s="12"/>
      <c r="J1" s="12"/>
      <c r="K1" s="12"/>
    </row>
    <row r="2" spans="1:11" ht="17.5">
      <c r="A2" s="24" t="s">
        <v>9</v>
      </c>
      <c r="B2" s="12"/>
      <c r="C2" s="12"/>
      <c r="D2" s="12"/>
      <c r="E2" s="12"/>
      <c r="F2" s="12"/>
      <c r="G2" s="12"/>
      <c r="H2" s="12"/>
      <c r="I2" s="12"/>
      <c r="J2" s="12"/>
      <c r="K2" s="12"/>
    </row>
    <row r="3" spans="1:11" ht="17">
      <c r="A3" s="25" t="s">
        <v>480</v>
      </c>
      <c r="B3" s="12"/>
      <c r="C3" s="12"/>
      <c r="D3" s="12"/>
      <c r="E3" s="12"/>
      <c r="F3" s="12"/>
      <c r="G3" s="12"/>
      <c r="H3" s="12"/>
      <c r="I3" s="12"/>
      <c r="J3" s="12"/>
      <c r="K3" s="12"/>
    </row>
    <row r="4" spans="1:11" ht="17">
      <c r="A4" s="25"/>
      <c r="B4" s="12"/>
      <c r="C4" s="12"/>
      <c r="D4" s="12"/>
      <c r="E4" s="12"/>
      <c r="F4" s="12"/>
      <c r="G4" s="12"/>
      <c r="H4" s="12"/>
      <c r="I4" s="12"/>
      <c r="J4" s="12"/>
      <c r="K4" s="12"/>
    </row>
    <row r="5" spans="1:11" ht="17.5" thickBot="1">
      <c r="A5" s="12"/>
      <c r="B5" s="12"/>
      <c r="C5" s="12"/>
      <c r="D5" s="12"/>
      <c r="E5" s="12"/>
      <c r="F5" s="12" t="s">
        <v>0</v>
      </c>
      <c r="G5" s="12"/>
      <c r="H5" s="26"/>
      <c r="I5" s="12"/>
      <c r="J5" s="12"/>
      <c r="K5" s="12"/>
    </row>
    <row r="6" spans="1:11" ht="18" thickBot="1">
      <c r="A6" s="284" t="str">
        <f>+'S&amp;D'!A12</f>
        <v>Liquid Transportation Pipeline Carriers</v>
      </c>
      <c r="B6" s="208"/>
      <c r="C6" s="12"/>
      <c r="D6" s="28"/>
      <c r="E6" s="28"/>
      <c r="F6" s="28"/>
      <c r="G6" s="29" t="s">
        <v>0</v>
      </c>
      <c r="H6" s="28"/>
      <c r="I6" s="12"/>
      <c r="J6" s="12"/>
      <c r="K6" s="12"/>
    </row>
    <row r="7" spans="1:11" ht="25.5">
      <c r="A7" s="30"/>
      <c r="B7" s="12"/>
      <c r="C7" s="12"/>
      <c r="D7" s="12"/>
      <c r="E7" s="12"/>
      <c r="F7" s="31" t="s">
        <v>433</v>
      </c>
      <c r="G7" s="12"/>
      <c r="H7" s="12"/>
      <c r="I7" s="12"/>
      <c r="J7" s="12"/>
      <c r="K7" s="12"/>
    </row>
    <row r="8" spans="1:11" ht="21.5" thickBot="1">
      <c r="A8" s="30"/>
      <c r="B8" s="12"/>
      <c r="C8" s="12"/>
      <c r="D8" s="28"/>
      <c r="E8" s="28"/>
      <c r="F8" s="32" t="s">
        <v>482</v>
      </c>
      <c r="G8" s="28"/>
      <c r="H8" s="28"/>
      <c r="I8" s="12"/>
      <c r="J8" s="12"/>
      <c r="K8" s="12"/>
    </row>
    <row r="9" spans="1:11" ht="17.5" thickBot="1">
      <c r="A9" s="33" t="s">
        <v>0</v>
      </c>
      <c r="B9" s="33" t="s">
        <v>0</v>
      </c>
      <c r="C9" s="33" t="s">
        <v>0</v>
      </c>
      <c r="D9" s="28"/>
      <c r="E9" s="33"/>
      <c r="F9" s="33" t="s">
        <v>0</v>
      </c>
      <c r="G9" s="33"/>
      <c r="H9" s="28"/>
      <c r="I9" s="28"/>
      <c r="J9" s="28"/>
      <c r="K9" s="12"/>
    </row>
    <row r="10" spans="1:11" ht="17">
      <c r="A10" s="34" t="s">
        <v>0</v>
      </c>
      <c r="B10" s="34" t="s">
        <v>3</v>
      </c>
      <c r="C10" s="34" t="s">
        <v>5</v>
      </c>
      <c r="D10" s="34" t="s">
        <v>168</v>
      </c>
      <c r="E10" s="34" t="s">
        <v>12</v>
      </c>
      <c r="F10" s="34" t="s">
        <v>179</v>
      </c>
      <c r="G10" s="34" t="s">
        <v>180</v>
      </c>
      <c r="H10" s="34" t="s">
        <v>180</v>
      </c>
      <c r="I10" s="34" t="s">
        <v>176</v>
      </c>
      <c r="J10" s="34" t="s">
        <v>176</v>
      </c>
      <c r="K10" s="12"/>
    </row>
    <row r="11" spans="1:11" ht="17">
      <c r="A11" s="34" t="s">
        <v>2</v>
      </c>
      <c r="B11" s="34" t="s">
        <v>4</v>
      </c>
      <c r="C11" s="34" t="s">
        <v>6</v>
      </c>
      <c r="D11" s="34" t="s">
        <v>207</v>
      </c>
      <c r="E11" s="34" t="s">
        <v>14</v>
      </c>
      <c r="F11" s="34" t="s">
        <v>429</v>
      </c>
      <c r="G11" s="34" t="s">
        <v>208</v>
      </c>
      <c r="H11" s="34" t="s">
        <v>209</v>
      </c>
      <c r="I11" s="34" t="s">
        <v>171</v>
      </c>
      <c r="J11" s="34" t="s">
        <v>174</v>
      </c>
      <c r="K11" s="12"/>
    </row>
    <row r="12" spans="1:11" ht="17">
      <c r="A12" s="34"/>
      <c r="B12" s="34"/>
      <c r="C12" s="34"/>
      <c r="D12" s="34"/>
      <c r="E12" s="34"/>
      <c r="F12" s="35" t="s">
        <v>0</v>
      </c>
      <c r="G12" s="35" t="s">
        <v>526</v>
      </c>
      <c r="H12" s="35" t="s">
        <v>526</v>
      </c>
      <c r="I12" s="34"/>
      <c r="J12" s="34"/>
      <c r="K12" s="12"/>
    </row>
    <row r="13" spans="1:11" ht="17.5" thickBot="1">
      <c r="A13" s="36" t="s">
        <v>24</v>
      </c>
      <c r="B13" s="37" t="s">
        <v>90</v>
      </c>
      <c r="C13" s="37" t="s">
        <v>91</v>
      </c>
      <c r="D13" s="37" t="s">
        <v>92</v>
      </c>
      <c r="E13" s="37" t="s">
        <v>93</v>
      </c>
      <c r="F13" s="37" t="s">
        <v>94</v>
      </c>
      <c r="G13" s="37" t="s">
        <v>95</v>
      </c>
      <c r="H13" s="37" t="s">
        <v>96</v>
      </c>
      <c r="I13" s="37" t="s">
        <v>177</v>
      </c>
      <c r="J13" s="37" t="s">
        <v>178</v>
      </c>
      <c r="K13" s="12"/>
    </row>
    <row r="14" spans="1:11" ht="17">
      <c r="A14" s="38" t="s">
        <v>7</v>
      </c>
      <c r="B14" s="38" t="s">
        <v>7</v>
      </c>
      <c r="C14" s="38" t="s">
        <v>7</v>
      </c>
      <c r="D14" s="39" t="s">
        <v>114</v>
      </c>
      <c r="E14" s="39"/>
      <c r="F14" s="38" t="s">
        <v>0</v>
      </c>
      <c r="G14" s="38" t="s">
        <v>7</v>
      </c>
      <c r="H14" s="38" t="s">
        <v>7</v>
      </c>
      <c r="I14" s="38" t="s">
        <v>15</v>
      </c>
      <c r="J14" s="38" t="s">
        <v>15</v>
      </c>
      <c r="K14" s="12"/>
    </row>
    <row r="15" spans="1:11" ht="17">
      <c r="A15" s="34"/>
      <c r="B15" s="34"/>
      <c r="C15" s="34"/>
      <c r="D15" s="34"/>
      <c r="E15" s="34"/>
      <c r="F15" s="34"/>
      <c r="G15" s="34"/>
      <c r="H15" s="12"/>
      <c r="I15" s="12"/>
      <c r="J15" s="12"/>
      <c r="K15" s="12"/>
    </row>
    <row r="16" spans="1:11" ht="17">
      <c r="A16" s="12"/>
      <c r="B16" s="12"/>
      <c r="C16" s="12"/>
      <c r="D16" s="12"/>
      <c r="E16" s="12"/>
      <c r="F16" s="12"/>
      <c r="G16" s="12"/>
      <c r="H16" s="12"/>
      <c r="I16" s="12"/>
      <c r="J16" s="12"/>
      <c r="K16" s="12"/>
    </row>
    <row r="17" spans="1:11" ht="17.5">
      <c r="A17" s="62" t="str">
        <f>+'S&amp;D'!A22</f>
        <v>Energy Transfer LP</v>
      </c>
      <c r="B17" s="91" t="str">
        <f>+'S&amp;D'!B22</f>
        <v>ET</v>
      </c>
      <c r="C17" s="91" t="str">
        <f>+'S&amp;D'!C22</f>
        <v>Pipeline MLPs</v>
      </c>
      <c r="D17" s="59">
        <f>+'S&amp;D'!G22</f>
        <v>13.8</v>
      </c>
      <c r="E17" s="60">
        <f>+'S&amp;D'!D38</f>
        <v>46471856122.800003</v>
      </c>
      <c r="F17" s="53">
        <f>+'Dividends '!H16</f>
        <v>9.7826086956521743E-2</v>
      </c>
      <c r="G17" s="53">
        <v>8.5000000000000006E-2</v>
      </c>
      <c r="H17" s="53">
        <v>7.4999999999999997E-2</v>
      </c>
      <c r="I17" s="351">
        <f t="shared" ref="I17:I19" si="0">+F17+G17</f>
        <v>0.18282608695652175</v>
      </c>
      <c r="J17" s="351">
        <f t="shared" ref="J17:J19" si="1">+F17+H17</f>
        <v>0.17282608695652174</v>
      </c>
      <c r="K17" s="12"/>
    </row>
    <row r="18" spans="1:11" ht="17.5">
      <c r="A18" s="62" t="str">
        <f>+'S&amp;D'!A23</f>
        <v>Enterprise Products Partnership LP</v>
      </c>
      <c r="B18" s="91" t="str">
        <f>+'S&amp;D'!B23</f>
        <v>EPD</v>
      </c>
      <c r="C18" s="91" t="str">
        <f>+'S&amp;D'!C23</f>
        <v>Pipeline MLPs</v>
      </c>
      <c r="D18" s="59">
        <f>+'S&amp;D'!G23</f>
        <v>26.35</v>
      </c>
      <c r="E18" s="60">
        <f>+'S&amp;D'!D39</f>
        <v>57133262021.300003</v>
      </c>
      <c r="F18" s="53">
        <f>+'Dividends '!H17</f>
        <v>8.7286527514231493E-2</v>
      </c>
      <c r="G18" s="53">
        <v>0.09</v>
      </c>
      <c r="H18" s="53">
        <v>7.0000000000000007E-2</v>
      </c>
      <c r="I18" s="351">
        <f t="shared" si="0"/>
        <v>0.17728652751423149</v>
      </c>
      <c r="J18" s="351">
        <f t="shared" si="1"/>
        <v>0.1572865275142315</v>
      </c>
      <c r="K18" s="12"/>
    </row>
    <row r="19" spans="1:11" ht="17.5">
      <c r="A19" s="62" t="str">
        <f>+'S&amp;D'!A24</f>
        <v>Hess Midstream LP</v>
      </c>
      <c r="B19" s="91" t="str">
        <f>+'S&amp;D'!B24</f>
        <v>HESM</v>
      </c>
      <c r="C19" s="91" t="str">
        <f>+'S&amp;D'!C24</f>
        <v>Pipeline MLPs</v>
      </c>
      <c r="D19" s="59">
        <f>+'S&amp;D'!G24</f>
        <v>31.63</v>
      </c>
      <c r="E19" s="60">
        <f>+'S&amp;D'!D40</f>
        <v>4995687778.8299999</v>
      </c>
      <c r="F19" s="53">
        <f>+'Dividends '!H18</f>
        <v>9.642744230161239E-2</v>
      </c>
      <c r="G19" s="53">
        <v>0.09</v>
      </c>
      <c r="H19" s="380">
        <v>0.115</v>
      </c>
      <c r="I19" s="351">
        <f t="shared" si="0"/>
        <v>0.1864274423016124</v>
      </c>
      <c r="J19" s="351">
        <f t="shared" si="1"/>
        <v>0.21142744230161239</v>
      </c>
      <c r="K19" s="12"/>
    </row>
    <row r="20" spans="1:11" ht="17.5">
      <c r="A20" s="62" t="str">
        <f>+'S&amp;D'!A25</f>
        <v>MPLX, LP</v>
      </c>
      <c r="B20" s="91" t="str">
        <f>+'S&amp;D'!B25</f>
        <v>MPLX</v>
      </c>
      <c r="C20" s="91" t="str">
        <f>+'S&amp;D'!C25</f>
        <v>Pipeline MLPs</v>
      </c>
      <c r="D20" s="59">
        <f>+'S&amp;D'!G25</f>
        <v>36.72</v>
      </c>
      <c r="E20" s="60">
        <f>+'S&amp;D'!D41</f>
        <v>37113537566.879997</v>
      </c>
      <c r="F20" s="53">
        <f>+'Dividends '!H19</f>
        <v>0.10348583877995643</v>
      </c>
      <c r="G20" s="53">
        <v>6.5000000000000002E-2</v>
      </c>
      <c r="H20" s="53">
        <v>0.08</v>
      </c>
      <c r="I20" s="351">
        <f t="shared" ref="I20:I23" si="2">+F20+G20</f>
        <v>0.16848583877995643</v>
      </c>
      <c r="J20" s="351">
        <f t="shared" ref="J20:J23" si="3">+F20+H20</f>
        <v>0.18348583877995644</v>
      </c>
      <c r="K20" s="12"/>
    </row>
    <row r="21" spans="1:11" ht="17.5">
      <c r="A21" s="62" t="str">
        <f>+'S&amp;D'!A26</f>
        <v>NuStar Energy LP</v>
      </c>
      <c r="B21" s="91" t="str">
        <f>+'S&amp;D'!B26</f>
        <v>NS</v>
      </c>
      <c r="C21" s="91" t="str">
        <f>+'S&amp;D'!C26</f>
        <v>Pipeline MLPs</v>
      </c>
      <c r="D21" s="59">
        <f>+'S&amp;D'!G26</f>
        <v>18.68</v>
      </c>
      <c r="E21" s="60">
        <f>+'S&amp;D'!D42</f>
        <v>2363634105</v>
      </c>
      <c r="F21" s="380">
        <f>+'Dividends '!H20</f>
        <v>8.5653104925053541E-2</v>
      </c>
      <c r="G21" s="53">
        <v>0.05</v>
      </c>
      <c r="H21" s="383" t="s">
        <v>522</v>
      </c>
      <c r="I21" s="351">
        <f t="shared" si="2"/>
        <v>0.13565310492505356</v>
      </c>
      <c r="J21" s="351" t="s">
        <v>516</v>
      </c>
      <c r="K21" s="12"/>
    </row>
    <row r="22" spans="1:11" ht="17.5">
      <c r="A22" s="62" t="str">
        <f>+'S&amp;D'!A27</f>
        <v>Plains All American Pipeline LP</v>
      </c>
      <c r="B22" s="91" t="str">
        <f>+'S&amp;D'!B27</f>
        <v>PAA</v>
      </c>
      <c r="C22" s="91" t="str">
        <f>+'S&amp;D'!C27</f>
        <v>Pipeline MLPs</v>
      </c>
      <c r="D22" s="59">
        <f>+'S&amp;D'!G27</f>
        <v>15.15</v>
      </c>
      <c r="E22" s="60">
        <f>+'S&amp;D'!D43</f>
        <v>10621226119.65</v>
      </c>
      <c r="F22" s="53">
        <f>+'Dividends '!H21</f>
        <v>9.9009900990099001E-2</v>
      </c>
      <c r="G22" s="380">
        <v>0.18</v>
      </c>
      <c r="H22" s="383" t="s">
        <v>522</v>
      </c>
      <c r="I22" s="381">
        <f>+F22+G22</f>
        <v>0.27900990099009898</v>
      </c>
      <c r="J22" s="351" t="s">
        <v>516</v>
      </c>
      <c r="K22" s="12"/>
    </row>
    <row r="23" spans="1:11" ht="18" thickBot="1">
      <c r="A23" s="62" t="str">
        <f>+'S&amp;D'!A28</f>
        <v>Western Midstream Partners LP</v>
      </c>
      <c r="B23" s="91" t="str">
        <f>+'S&amp;D'!B28</f>
        <v>WES</v>
      </c>
      <c r="C23" s="91" t="str">
        <f>+'S&amp;D'!C28</f>
        <v>Pipeline MLPs</v>
      </c>
      <c r="D23" s="59">
        <f>+'S&amp;D'!G28</f>
        <v>29.26</v>
      </c>
      <c r="E23" s="60">
        <f>+'S&amp;D'!D44</f>
        <v>11104754702.58</v>
      </c>
      <c r="F23" s="352">
        <f>+'Dividends '!H22</f>
        <v>8.5440874914559123E-2</v>
      </c>
      <c r="G23" s="352">
        <v>0.115</v>
      </c>
      <c r="H23" s="352">
        <v>7.4999999999999997E-2</v>
      </c>
      <c r="I23" s="353">
        <f t="shared" si="2"/>
        <v>0.20044087491455914</v>
      </c>
      <c r="J23" s="382">
        <f t="shared" si="3"/>
        <v>0.16044087491455911</v>
      </c>
      <c r="K23" s="12"/>
    </row>
    <row r="24" spans="1:11" ht="17.5" thickTop="1">
      <c r="A24" s="12"/>
      <c r="B24" s="12"/>
      <c r="C24" s="14" t="s">
        <v>0</v>
      </c>
      <c r="D24" s="15" t="s">
        <v>0</v>
      </c>
      <c r="E24" s="15" t="s">
        <v>45</v>
      </c>
      <c r="F24" s="483">
        <f>MAX(F17:F23)</f>
        <v>0.10348583877995643</v>
      </c>
      <c r="G24" s="16">
        <f t="shared" ref="G24:J24" si="4">MAX(G17:G23)</f>
        <v>0.18</v>
      </c>
      <c r="H24" s="16">
        <f t="shared" si="4"/>
        <v>0.115</v>
      </c>
      <c r="I24" s="16">
        <f t="shared" si="4"/>
        <v>0.27900990099009898</v>
      </c>
      <c r="J24" s="16">
        <f t="shared" si="4"/>
        <v>0.21142744230161239</v>
      </c>
      <c r="K24" s="12"/>
    </row>
    <row r="25" spans="1:11" ht="17">
      <c r="A25" s="12"/>
      <c r="B25" s="12"/>
      <c r="C25" s="14"/>
      <c r="D25" s="15"/>
      <c r="E25" s="15" t="s">
        <v>46</v>
      </c>
      <c r="F25" s="482">
        <f>MIN(F17:F23)</f>
        <v>8.5440874914559123E-2</v>
      </c>
      <c r="G25" s="369">
        <f t="shared" ref="G25:J25" si="5">MIN(G17:G23)</f>
        <v>0.05</v>
      </c>
      <c r="H25" s="369">
        <f t="shared" si="5"/>
        <v>7.0000000000000007E-2</v>
      </c>
      <c r="I25" s="369">
        <f t="shared" si="5"/>
        <v>0.13565310492505356</v>
      </c>
      <c r="J25" s="369">
        <f t="shared" si="5"/>
        <v>0.1572865275142315</v>
      </c>
      <c r="K25" s="12"/>
    </row>
    <row r="26" spans="1:11" ht="17">
      <c r="A26" s="12"/>
      <c r="B26" s="12"/>
      <c r="D26" s="17" t="s">
        <v>0</v>
      </c>
      <c r="E26" s="14" t="s">
        <v>18</v>
      </c>
      <c r="F26" s="54">
        <f>MEDIAN(F17:F23)</f>
        <v>9.642744230161239E-2</v>
      </c>
      <c r="G26" s="344">
        <f>MEDIAN(G17:G23)</f>
        <v>0.09</v>
      </c>
      <c r="H26" s="344">
        <f>MEDIAN(H17:H23)</f>
        <v>7.4999999999999997E-2</v>
      </c>
      <c r="I26" s="345">
        <f>MEDIAN(I17:I23)</f>
        <v>0.18282608695652175</v>
      </c>
      <c r="J26" s="345">
        <f>MEDIAN(J17:J23)</f>
        <v>0.17282608695652174</v>
      </c>
      <c r="K26" s="12"/>
    </row>
    <row r="27" spans="1:11" ht="17">
      <c r="A27" s="12"/>
      <c r="B27" s="12"/>
      <c r="D27" s="21" t="s">
        <v>0</v>
      </c>
      <c r="E27" s="14" t="s">
        <v>440</v>
      </c>
      <c r="F27" s="54">
        <f>AVERAGE(F17:F23)</f>
        <v>9.3589968054576228E-2</v>
      </c>
      <c r="G27" s="54">
        <f>AVERAGE(G17:G23)</f>
        <v>9.6428571428571433E-2</v>
      </c>
      <c r="H27" s="344">
        <f>AVERAGE(H17:H23)</f>
        <v>8.3000000000000004E-2</v>
      </c>
      <c r="I27" s="345">
        <f>AVERAGE(I17:I23)</f>
        <v>0.1900185394831477</v>
      </c>
      <c r="J27" s="345">
        <f>AVERAGE(J17:J23)</f>
        <v>0.17709335409337626</v>
      </c>
      <c r="K27" s="12"/>
    </row>
    <row r="28" spans="1:11" ht="17">
      <c r="A28" s="12"/>
      <c r="B28" s="12"/>
      <c r="D28" s="21"/>
      <c r="E28" s="14"/>
      <c r="F28" s="18"/>
      <c r="G28" s="18"/>
      <c r="H28" s="19"/>
      <c r="I28" s="20"/>
      <c r="J28" s="20"/>
      <c r="K28" s="12"/>
    </row>
    <row r="29" spans="1:11" ht="17.5" thickBot="1">
      <c r="A29" s="12"/>
      <c r="B29" s="12"/>
      <c r="C29" s="12"/>
      <c r="D29" s="12"/>
      <c r="E29" s="12"/>
      <c r="F29" s="12"/>
      <c r="G29" s="12"/>
      <c r="H29" s="12"/>
      <c r="I29" s="12"/>
      <c r="J29" s="12"/>
      <c r="K29" s="12"/>
    </row>
    <row r="30" spans="1:11" ht="26.5" thickBot="1">
      <c r="A30" s="12"/>
      <c r="B30" s="12"/>
      <c r="C30" s="12"/>
      <c r="D30" s="12"/>
      <c r="E30" s="12"/>
      <c r="F30" s="12"/>
      <c r="G30" s="205" t="s">
        <v>182</v>
      </c>
      <c r="H30" s="207"/>
      <c r="I30" s="346">
        <v>0.19</v>
      </c>
      <c r="J30" s="12"/>
      <c r="K30" s="12"/>
    </row>
    <row r="31" spans="1:11" ht="20.25" customHeight="1" thickBot="1">
      <c r="A31" s="12"/>
      <c r="B31" s="12"/>
      <c r="C31" s="12"/>
      <c r="D31" s="12"/>
      <c r="E31" s="12"/>
      <c r="F31" s="12"/>
      <c r="G31" s="12"/>
      <c r="H31" s="12"/>
      <c r="I31" s="12"/>
      <c r="J31" s="12"/>
      <c r="K31" s="12"/>
    </row>
    <row r="32" spans="1:11" ht="26.5" thickBot="1">
      <c r="A32" s="12"/>
      <c r="B32" s="12"/>
      <c r="C32" s="12"/>
      <c r="D32" s="12"/>
      <c r="E32" s="12"/>
      <c r="F32" s="12"/>
      <c r="G32" s="205" t="s">
        <v>181</v>
      </c>
      <c r="H32" s="208"/>
      <c r="I32" s="346">
        <v>0.17710000000000001</v>
      </c>
      <c r="J32" s="12"/>
      <c r="K32" s="12"/>
    </row>
    <row r="33" spans="1:10" ht="17">
      <c r="A33" s="12"/>
      <c r="B33" s="12"/>
      <c r="C33" s="12"/>
      <c r="D33" s="12"/>
      <c r="E33" s="12"/>
      <c r="F33" s="12"/>
      <c r="G33" s="12"/>
      <c r="H33" s="12"/>
      <c r="I33" s="12"/>
      <c r="J33" s="12"/>
    </row>
    <row r="34" spans="1:10" ht="25.5">
      <c r="A34" s="23" t="s">
        <v>370</v>
      </c>
      <c r="B34" s="12"/>
      <c r="C34" s="23" t="s">
        <v>369</v>
      </c>
      <c r="D34" s="12"/>
      <c r="E34" s="12"/>
      <c r="F34" s="12"/>
      <c r="G34" s="12"/>
      <c r="H34" s="12"/>
      <c r="I34" s="12"/>
      <c r="J34" s="12"/>
    </row>
    <row r="35" spans="1:10" ht="17.5">
      <c r="A35" s="62" t="s">
        <v>373</v>
      </c>
      <c r="B35" s="12"/>
      <c r="C35" s="62" t="s">
        <v>373</v>
      </c>
      <c r="D35" s="12"/>
      <c r="E35" s="12"/>
      <c r="F35" s="12"/>
      <c r="G35" s="12"/>
      <c r="H35" s="12"/>
      <c r="I35" s="12"/>
      <c r="J35" s="12"/>
    </row>
    <row r="36" spans="1:10" ht="17.5">
      <c r="A36" s="62" t="s">
        <v>372</v>
      </c>
      <c r="B36" s="12"/>
      <c r="C36" s="62" t="s">
        <v>371</v>
      </c>
      <c r="D36" s="12"/>
      <c r="E36" s="12"/>
      <c r="F36" s="12"/>
      <c r="G36" s="12"/>
      <c r="H36" s="12"/>
      <c r="I36" s="12"/>
      <c r="J36" s="12"/>
    </row>
    <row r="37" spans="1:10" ht="17">
      <c r="A37" s="43"/>
      <c r="B37" s="12"/>
      <c r="C37" s="43"/>
      <c r="D37" s="12"/>
      <c r="E37" s="12"/>
      <c r="F37" s="12"/>
      <c r="G37" s="12"/>
      <c r="H37" s="12"/>
      <c r="I37" s="12"/>
      <c r="J37" s="12"/>
    </row>
    <row r="38" spans="1:10" ht="17">
      <c r="A38" s="43"/>
      <c r="B38" s="12"/>
      <c r="C38" s="43"/>
      <c r="D38" s="12"/>
      <c r="E38" s="12"/>
      <c r="F38" s="12"/>
      <c r="G38" s="12"/>
      <c r="H38" s="12"/>
      <c r="I38" s="12"/>
      <c r="J38" s="12"/>
    </row>
    <row r="39" spans="1:10" ht="25.5">
      <c r="A39" s="23" t="s">
        <v>204</v>
      </c>
      <c r="B39" s="12"/>
      <c r="C39" s="23" t="s">
        <v>204</v>
      </c>
      <c r="D39" s="12"/>
      <c r="E39" s="12"/>
      <c r="F39" s="12"/>
      <c r="G39" s="12"/>
      <c r="H39" s="12"/>
      <c r="I39" s="12"/>
      <c r="J39" s="12"/>
    </row>
    <row r="40" spans="1:10" ht="17">
      <c r="A40" s="43"/>
      <c r="B40" s="12"/>
      <c r="C40" s="43"/>
      <c r="D40" s="12"/>
      <c r="E40" s="12"/>
      <c r="F40" s="12"/>
      <c r="G40" s="12"/>
      <c r="H40" s="12"/>
      <c r="I40" s="12"/>
      <c r="J40" s="12"/>
    </row>
    <row r="41" spans="1:10" ht="17.5">
      <c r="A41" s="62" t="s">
        <v>205</v>
      </c>
      <c r="B41" s="12"/>
      <c r="C41" s="62" t="s">
        <v>205</v>
      </c>
      <c r="D41" s="12"/>
      <c r="E41" s="12"/>
      <c r="F41" s="12"/>
      <c r="G41" s="12"/>
      <c r="H41" s="12"/>
      <c r="I41" s="12"/>
      <c r="J41" s="12"/>
    </row>
    <row r="42" spans="1:10" ht="17.5">
      <c r="A42" s="62" t="s">
        <v>203</v>
      </c>
      <c r="B42" s="12"/>
      <c r="C42" s="62" t="s">
        <v>203</v>
      </c>
      <c r="D42" s="12"/>
      <c r="E42" s="12"/>
      <c r="F42" s="12"/>
      <c r="G42" s="12"/>
      <c r="H42" s="12"/>
      <c r="I42" s="12"/>
      <c r="J42" s="12"/>
    </row>
    <row r="43" spans="1:10" ht="17.5">
      <c r="A43" s="62" t="s">
        <v>206</v>
      </c>
      <c r="B43" s="12"/>
      <c r="C43" s="62" t="s">
        <v>206</v>
      </c>
      <c r="D43" s="12"/>
      <c r="E43" s="12"/>
      <c r="F43" s="12"/>
      <c r="G43" s="12"/>
      <c r="H43" s="12"/>
      <c r="I43" s="12"/>
      <c r="J43" s="12"/>
    </row>
    <row r="44" spans="1:10" ht="17.5">
      <c r="A44" s="62" t="s">
        <v>375</v>
      </c>
      <c r="B44" s="12"/>
      <c r="C44" s="62" t="s">
        <v>374</v>
      </c>
      <c r="D44" s="12"/>
      <c r="E44" s="12"/>
      <c r="F44" s="12"/>
      <c r="G44" s="12"/>
      <c r="H44" s="12"/>
      <c r="I44" s="12"/>
      <c r="J44" s="12"/>
    </row>
    <row r="45" spans="1:10" ht="17.5">
      <c r="A45" s="62"/>
      <c r="B45" s="12"/>
      <c r="C45" s="62"/>
      <c r="D45" s="12"/>
      <c r="E45" s="12"/>
      <c r="F45" s="12"/>
      <c r="G45" s="12"/>
      <c r="H45" s="12"/>
      <c r="I45" s="12"/>
      <c r="J45" s="12"/>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07"/>
  <sheetViews>
    <sheetView view="pageBreakPreview" topLeftCell="A13" zoomScale="70" zoomScaleNormal="80" zoomScaleSheetLayoutView="70" workbookViewId="0">
      <selection activeCell="H35" sqref="H35"/>
    </sheetView>
  </sheetViews>
  <sheetFormatPr defaultRowHeight="14.5"/>
  <cols>
    <col min="1" max="1" width="47.81640625" customWidth="1"/>
    <col min="2" max="2" width="15.26953125" customWidth="1"/>
    <col min="3" max="3" width="24.54296875" customWidth="1"/>
    <col min="4" max="4" width="26.54296875" customWidth="1"/>
    <col min="5" max="5" width="32.26953125" customWidth="1"/>
    <col min="6" max="6" width="22.453125" customWidth="1"/>
    <col min="7" max="7" width="27" customWidth="1"/>
    <col min="8" max="8" width="39.81640625" customWidth="1"/>
    <col min="9" max="9" width="15.26953125" customWidth="1"/>
    <col min="10" max="10" width="24.54296875" customWidth="1"/>
    <col min="11" max="11" width="24.1796875" customWidth="1"/>
    <col min="13" max="13" width="10.54296875" customWidth="1"/>
  </cols>
  <sheetData>
    <row r="1" spans="1:9" ht="25.5">
      <c r="A1" s="23" t="s">
        <v>1</v>
      </c>
      <c r="B1" s="12"/>
      <c r="C1" s="12"/>
      <c r="D1" s="12"/>
      <c r="E1" s="12"/>
      <c r="F1" s="12"/>
      <c r="G1" s="12"/>
      <c r="H1" s="12"/>
      <c r="I1" s="12"/>
    </row>
    <row r="2" spans="1:9" ht="17.5">
      <c r="A2" s="24" t="s">
        <v>9</v>
      </c>
      <c r="B2" s="12"/>
      <c r="C2" s="12"/>
      <c r="D2" s="12"/>
      <c r="E2" s="12"/>
      <c r="F2" s="12"/>
      <c r="G2" s="12"/>
      <c r="H2" s="12"/>
      <c r="I2" s="12"/>
    </row>
    <row r="3" spans="1:9" ht="17">
      <c r="A3" s="25" t="s">
        <v>480</v>
      </c>
      <c r="B3" s="12"/>
      <c r="C3" s="12"/>
      <c r="D3" s="12"/>
      <c r="E3" s="12"/>
      <c r="F3" s="12"/>
      <c r="G3" s="12"/>
      <c r="H3" s="12"/>
      <c r="I3" s="12"/>
    </row>
    <row r="4" spans="1:9" ht="17">
      <c r="A4" s="25"/>
      <c r="B4" s="12"/>
      <c r="C4" s="12"/>
      <c r="D4" s="12"/>
      <c r="E4" s="12"/>
      <c r="F4" s="12"/>
      <c r="G4" s="12"/>
      <c r="H4" s="12"/>
      <c r="I4" s="12"/>
    </row>
    <row r="5" spans="1:9" ht="17.5" thickBot="1">
      <c r="A5" s="12"/>
      <c r="B5" s="12"/>
      <c r="C5" s="12"/>
      <c r="D5" s="12"/>
      <c r="E5" s="12"/>
      <c r="F5" s="12"/>
      <c r="G5" s="12"/>
      <c r="H5" s="12"/>
      <c r="I5" s="26"/>
    </row>
    <row r="6" spans="1:9" ht="21.5" thickBot="1">
      <c r="A6" s="282" t="str">
        <f>+'S&amp;D'!A12</f>
        <v>Liquid Transportation Pipeline Carriers</v>
      </c>
      <c r="B6" s="208"/>
      <c r="C6" s="12"/>
      <c r="D6" s="12"/>
      <c r="E6" s="12"/>
      <c r="F6" s="12"/>
      <c r="G6" s="12"/>
      <c r="H6" s="12"/>
      <c r="I6" s="12"/>
    </row>
    <row r="7" spans="1:9" ht="21">
      <c r="A7" s="30"/>
      <c r="B7" s="12"/>
      <c r="C7" s="12"/>
      <c r="D7" s="12"/>
      <c r="E7" s="12"/>
      <c r="F7" s="12"/>
      <c r="G7" s="12"/>
      <c r="H7" s="12"/>
      <c r="I7" s="12"/>
    </row>
    <row r="8" spans="1:9" ht="21.5" thickBot="1">
      <c r="A8" s="30"/>
      <c r="B8" s="12"/>
      <c r="C8" s="12"/>
      <c r="D8" s="28"/>
      <c r="E8" s="28"/>
      <c r="F8" s="28"/>
      <c r="G8" s="12"/>
      <c r="H8" s="12"/>
      <c r="I8" s="12"/>
    </row>
    <row r="9" spans="1:9" ht="25.5">
      <c r="A9" s="30"/>
      <c r="B9" s="12"/>
      <c r="C9" s="12"/>
      <c r="D9" s="12"/>
      <c r="E9" s="31" t="s">
        <v>183</v>
      </c>
      <c r="F9" s="12"/>
      <c r="G9" s="12"/>
      <c r="H9" s="12"/>
      <c r="I9" s="12"/>
    </row>
    <row r="10" spans="1:9" ht="21.5" thickBot="1">
      <c r="A10" s="30"/>
      <c r="B10" s="12"/>
      <c r="C10" s="12"/>
      <c r="D10" s="28"/>
      <c r="E10" s="32" t="s">
        <v>481</v>
      </c>
      <c r="F10" s="28"/>
      <c r="G10" s="12"/>
      <c r="H10" s="12"/>
      <c r="I10" s="12"/>
    </row>
    <row r="11" spans="1:9" ht="21">
      <c r="A11" s="30"/>
      <c r="B11" s="12"/>
      <c r="C11" s="12"/>
      <c r="D11" s="12"/>
      <c r="E11" s="12"/>
      <c r="F11" s="34"/>
      <c r="G11" s="34"/>
      <c r="H11" s="12"/>
      <c r="I11" s="12"/>
    </row>
    <row r="12" spans="1:9" ht="21">
      <c r="A12" s="30"/>
      <c r="B12" s="12"/>
      <c r="C12" s="12"/>
      <c r="D12" s="12" t="s">
        <v>0</v>
      </c>
      <c r="E12" s="12"/>
      <c r="F12" s="34"/>
      <c r="G12" s="34"/>
      <c r="H12" s="12"/>
      <c r="I12" s="12"/>
    </row>
    <row r="13" spans="1:9" ht="45.75" customHeight="1" thickBot="1">
      <c r="A13" s="33" t="s">
        <v>0</v>
      </c>
      <c r="B13" s="33" t="s">
        <v>0</v>
      </c>
      <c r="C13" s="33" t="s">
        <v>0</v>
      </c>
      <c r="D13" s="28"/>
      <c r="E13" s="28"/>
      <c r="F13" s="33" t="s">
        <v>0</v>
      </c>
      <c r="G13" s="33"/>
      <c r="H13" s="33"/>
      <c r="I13" s="12"/>
    </row>
    <row r="14" spans="1:9" ht="17">
      <c r="A14" s="34" t="s">
        <v>0</v>
      </c>
      <c r="B14" s="34" t="s">
        <v>3</v>
      </c>
      <c r="C14" s="34" t="s">
        <v>5</v>
      </c>
      <c r="D14" s="34" t="s">
        <v>179</v>
      </c>
      <c r="E14" s="34" t="s">
        <v>180</v>
      </c>
      <c r="F14" s="34" t="s">
        <v>184</v>
      </c>
      <c r="G14" s="34" t="s">
        <v>19</v>
      </c>
      <c r="H14" s="34" t="s">
        <v>186</v>
      </c>
      <c r="I14" s="12"/>
    </row>
    <row r="15" spans="1:9" ht="17">
      <c r="A15" s="34" t="s">
        <v>2</v>
      </c>
      <c r="B15" s="34" t="s">
        <v>4</v>
      </c>
      <c r="C15" s="34" t="s">
        <v>6</v>
      </c>
      <c r="D15" s="34" t="s">
        <v>429</v>
      </c>
      <c r="E15" s="34" t="s">
        <v>430</v>
      </c>
      <c r="F15" s="34" t="s">
        <v>129</v>
      </c>
      <c r="G15" s="34" t="s">
        <v>185</v>
      </c>
      <c r="H15" s="34" t="s">
        <v>175</v>
      </c>
      <c r="I15" s="12"/>
    </row>
    <row r="16" spans="1:9" ht="17">
      <c r="A16" s="34"/>
      <c r="B16" s="34" t="s">
        <v>0</v>
      </c>
      <c r="C16" s="34" t="s">
        <v>0</v>
      </c>
      <c r="D16" s="34" t="s">
        <v>0</v>
      </c>
      <c r="E16" s="35" t="s">
        <v>431</v>
      </c>
      <c r="F16" s="35" t="s">
        <v>0</v>
      </c>
      <c r="G16" s="34" t="s">
        <v>190</v>
      </c>
      <c r="H16" s="35" t="s">
        <v>191</v>
      </c>
      <c r="I16" s="12"/>
    </row>
    <row r="17" spans="1:11" ht="18" customHeight="1" thickBot="1">
      <c r="A17" s="66" t="s">
        <v>0</v>
      </c>
      <c r="B17" s="37" t="s">
        <v>0</v>
      </c>
      <c r="C17" s="37" t="s">
        <v>0</v>
      </c>
      <c r="D17" s="32" t="s">
        <v>188</v>
      </c>
      <c r="E17" s="32" t="s">
        <v>189</v>
      </c>
      <c r="F17" s="32" t="s">
        <v>187</v>
      </c>
      <c r="G17" s="34" t="s">
        <v>95</v>
      </c>
      <c r="H17" s="159"/>
      <c r="I17" s="12"/>
    </row>
    <row r="18" spans="1:11" ht="17">
      <c r="A18" s="38" t="s">
        <v>0</v>
      </c>
      <c r="B18" s="38" t="s">
        <v>0</v>
      </c>
      <c r="C18" s="38" t="s">
        <v>0</v>
      </c>
      <c r="D18" s="38" t="s">
        <v>7</v>
      </c>
      <c r="E18" s="38" t="s">
        <v>7</v>
      </c>
      <c r="F18" s="38" t="s">
        <v>0</v>
      </c>
      <c r="G18" s="67" t="s">
        <v>0</v>
      </c>
      <c r="H18" s="38" t="s">
        <v>0</v>
      </c>
      <c r="I18" s="12"/>
    </row>
    <row r="19" spans="1:11" ht="17">
      <c r="A19" s="34"/>
      <c r="B19" s="34"/>
      <c r="C19" s="34"/>
      <c r="D19" s="34"/>
      <c r="E19" s="12"/>
      <c r="F19" s="34"/>
      <c r="G19" s="12"/>
      <c r="H19" s="12"/>
      <c r="I19" s="12"/>
      <c r="J19" t="s">
        <v>0</v>
      </c>
      <c r="K19" t="s">
        <v>0</v>
      </c>
    </row>
    <row r="20" spans="1:11" ht="17">
      <c r="A20" s="12"/>
      <c r="B20" s="12"/>
      <c r="C20" s="12"/>
      <c r="D20" s="12"/>
      <c r="E20" s="12"/>
      <c r="F20" s="12"/>
      <c r="G20" s="12"/>
      <c r="H20" s="12" t="s">
        <v>0</v>
      </c>
      <c r="I20" s="12"/>
      <c r="J20" t="s">
        <v>0</v>
      </c>
      <c r="K20" t="s">
        <v>0</v>
      </c>
    </row>
    <row r="21" spans="1:11" ht="17.5">
      <c r="A21" s="62" t="str">
        <f>+'S&amp;D'!A22</f>
        <v>Energy Transfer LP</v>
      </c>
      <c r="B21" s="91" t="str">
        <f>+'S&amp;D'!B22</f>
        <v>ET</v>
      </c>
      <c r="C21" s="34" t="str">
        <f>+'S&amp;D'!C22</f>
        <v>Pipeline MLPs</v>
      </c>
      <c r="D21" s="65">
        <f>+'Dividends '!H16</f>
        <v>9.7826086956521743E-2</v>
      </c>
      <c r="E21" s="65">
        <f>+'Single Stage Div Growth Model'!H17</f>
        <v>7.4999999999999997E-2</v>
      </c>
      <c r="F21" s="65">
        <f>+'Growth &amp; Inflation Rates'!F93</f>
        <v>4.1099999999999998E-2</v>
      </c>
      <c r="G21" s="65">
        <f t="shared" ref="G21:G23" si="0">(F21+E21)/2</f>
        <v>5.8049999999999997E-2</v>
      </c>
      <c r="H21" s="65">
        <f t="shared" ref="H21:H23" si="1">D21*(1+(0.5*G21))+(0.67*E21)+(0.33*F21)</f>
        <v>0.16447848913043478</v>
      </c>
      <c r="I21" s="12"/>
    </row>
    <row r="22" spans="1:11" ht="17.5">
      <c r="A22" s="62" t="str">
        <f>+'S&amp;D'!A23</f>
        <v>Enterprise Products Partnership LP</v>
      </c>
      <c r="B22" s="91" t="str">
        <f>+'S&amp;D'!B23</f>
        <v>EPD</v>
      </c>
      <c r="C22" s="34" t="str">
        <f>+'S&amp;D'!C23</f>
        <v>Pipeline MLPs</v>
      </c>
      <c r="D22" s="65">
        <f>+'Dividends '!H17</f>
        <v>8.7286527514231493E-2</v>
      </c>
      <c r="E22" s="65">
        <f>+'Single Stage Div Growth Model'!H18</f>
        <v>7.0000000000000007E-2</v>
      </c>
      <c r="F22" s="65">
        <f>+F21</f>
        <v>4.1099999999999998E-2</v>
      </c>
      <c r="G22" s="65">
        <f t="shared" si="0"/>
        <v>5.5550000000000002E-2</v>
      </c>
      <c r="H22" s="65">
        <f t="shared" si="1"/>
        <v>0.15017391081593928</v>
      </c>
      <c r="I22" s="12"/>
    </row>
    <row r="23" spans="1:11" ht="17.5">
      <c r="A23" s="62" t="str">
        <f>+'S&amp;D'!A24</f>
        <v>Hess Midstream LP</v>
      </c>
      <c r="B23" s="91" t="str">
        <f>+'S&amp;D'!B24</f>
        <v>HESM</v>
      </c>
      <c r="C23" s="34" t="str">
        <f>+'S&amp;D'!C24</f>
        <v>Pipeline MLPs</v>
      </c>
      <c r="D23" s="65">
        <f>+'Dividends '!H18</f>
        <v>9.642744230161239E-2</v>
      </c>
      <c r="E23" s="65">
        <f>+'Single Stage Div Growth Model'!H19</f>
        <v>0.115</v>
      </c>
      <c r="F23" s="65">
        <f>+F21</f>
        <v>4.1099999999999998E-2</v>
      </c>
      <c r="G23" s="65">
        <f t="shared" si="0"/>
        <v>7.8050000000000008E-2</v>
      </c>
      <c r="H23" s="65">
        <f t="shared" si="1"/>
        <v>0.19080352323743283</v>
      </c>
      <c r="I23" s="12"/>
    </row>
    <row r="24" spans="1:11" ht="17.5">
      <c r="A24" s="62" t="str">
        <f>+'S&amp;D'!A25</f>
        <v>MPLX, LP</v>
      </c>
      <c r="B24" s="91" t="str">
        <f>+'S&amp;D'!B25</f>
        <v>MPLX</v>
      </c>
      <c r="C24" s="34" t="str">
        <f>+'S&amp;D'!C25</f>
        <v>Pipeline MLPs</v>
      </c>
      <c r="D24" s="65">
        <f>+'Dividends '!H19</f>
        <v>0.10348583877995643</v>
      </c>
      <c r="E24" s="65">
        <f>+'Single Stage Div Growth Model'!H20</f>
        <v>0.08</v>
      </c>
      <c r="F24" s="65">
        <f>+F21</f>
        <v>4.1099999999999998E-2</v>
      </c>
      <c r="G24" s="65">
        <f t="shared" ref="G24:G27" si="2">(F24+E24)/2</f>
        <v>6.055E-2</v>
      </c>
      <c r="H24" s="65">
        <f t="shared" ref="H24:H27" si="3">D24*(1+(0.5*G24))+(0.67*E24)+(0.33*F24)</f>
        <v>0.17378187254901961</v>
      </c>
      <c r="I24" s="12"/>
      <c r="J24" t="s">
        <v>0</v>
      </c>
      <c r="K24" t="s">
        <v>0</v>
      </c>
    </row>
    <row r="25" spans="1:11" ht="17.5">
      <c r="A25" s="62" t="str">
        <f>+'S&amp;D'!A26</f>
        <v>NuStar Energy LP</v>
      </c>
      <c r="B25" s="91" t="str">
        <f>+'S&amp;D'!B26</f>
        <v>NS</v>
      </c>
      <c r="C25" s="34" t="str">
        <f>+'S&amp;D'!C26</f>
        <v>Pipeline MLPs</v>
      </c>
      <c r="D25" s="65">
        <f>+'Dividends '!H20</f>
        <v>8.5653104925053541E-2</v>
      </c>
      <c r="E25" s="385" t="str">
        <f>+'Single Stage Div Growth Model'!H21</f>
        <v>nmf</v>
      </c>
      <c r="F25" s="65">
        <f>+F21</f>
        <v>4.1099999999999998E-2</v>
      </c>
      <c r="G25" s="65" t="s">
        <v>516</v>
      </c>
      <c r="H25" s="65" t="s">
        <v>516</v>
      </c>
      <c r="I25" s="12"/>
      <c r="J25" t="s">
        <v>0</v>
      </c>
      <c r="K25" t="s">
        <v>0</v>
      </c>
    </row>
    <row r="26" spans="1:11" ht="17.5">
      <c r="A26" s="62" t="str">
        <f>+'S&amp;D'!A27</f>
        <v>Plains All American Pipeline LP</v>
      </c>
      <c r="B26" s="91" t="str">
        <f>+'S&amp;D'!B27</f>
        <v>PAA</v>
      </c>
      <c r="C26" s="34" t="str">
        <f>+'S&amp;D'!C27</f>
        <v>Pipeline MLPs</v>
      </c>
      <c r="D26" s="65">
        <f>+'Dividends '!H21</f>
        <v>9.9009900990099001E-2</v>
      </c>
      <c r="E26" s="385" t="str">
        <f>+'Single Stage Div Growth Model'!H22</f>
        <v>nmf</v>
      </c>
      <c r="F26" s="65">
        <f>+F21</f>
        <v>4.1099999999999998E-2</v>
      </c>
      <c r="G26" s="65" t="s">
        <v>516</v>
      </c>
      <c r="H26" s="65" t="s">
        <v>516</v>
      </c>
      <c r="I26" s="12"/>
      <c r="J26" t="s">
        <v>0</v>
      </c>
      <c r="K26" t="s">
        <v>0</v>
      </c>
    </row>
    <row r="27" spans="1:11" ht="18" thickBot="1">
      <c r="A27" s="62" t="str">
        <f>+'S&amp;D'!A28</f>
        <v>Western Midstream Partners LP</v>
      </c>
      <c r="B27" s="91" t="str">
        <f>+'S&amp;D'!B28</f>
        <v>WES</v>
      </c>
      <c r="C27" s="34" t="str">
        <f>+'S&amp;D'!C28</f>
        <v>Pipeline MLPs</v>
      </c>
      <c r="D27" s="65">
        <f>+'Dividends '!H22</f>
        <v>8.5440874914559123E-2</v>
      </c>
      <c r="E27" s="65">
        <f>+'Single Stage Div Growth Model'!H23</f>
        <v>7.4999999999999997E-2</v>
      </c>
      <c r="F27" s="65">
        <f>+F21</f>
        <v>4.1099999999999998E-2</v>
      </c>
      <c r="G27" s="65">
        <f t="shared" si="2"/>
        <v>5.8049999999999997E-2</v>
      </c>
      <c r="H27" s="384">
        <f t="shared" si="3"/>
        <v>0.1517337963089542</v>
      </c>
      <c r="I27" s="12"/>
      <c r="J27" s="11" t="s">
        <v>0</v>
      </c>
      <c r="K27" t="s">
        <v>0</v>
      </c>
    </row>
    <row r="28" spans="1:11" ht="17.5" thickTop="1">
      <c r="A28" s="12"/>
      <c r="B28" s="12"/>
      <c r="C28" s="12"/>
      <c r="D28" s="12"/>
      <c r="E28" s="12"/>
      <c r="F28" s="12"/>
      <c r="G28" s="199" t="s">
        <v>45</v>
      </c>
      <c r="H28" s="55">
        <v>0.18770000000000001</v>
      </c>
      <c r="I28" s="12"/>
    </row>
    <row r="29" spans="1:11" ht="17">
      <c r="A29" s="12"/>
      <c r="B29" s="12"/>
      <c r="C29" s="14" t="s">
        <v>0</v>
      </c>
      <c r="D29" s="15" t="s">
        <v>0</v>
      </c>
      <c r="E29" s="15" t="s">
        <v>0</v>
      </c>
      <c r="F29" s="16" t="s">
        <v>0</v>
      </c>
      <c r="G29" s="16" t="s">
        <v>46</v>
      </c>
      <c r="H29" s="336">
        <v>8.6599999999999996E-2</v>
      </c>
      <c r="I29" s="12"/>
    </row>
    <row r="30" spans="1:11" ht="17">
      <c r="A30" s="12"/>
      <c r="B30" s="12"/>
      <c r="D30" s="55" t="s">
        <v>0</v>
      </c>
      <c r="E30" s="50" t="s">
        <v>0</v>
      </c>
      <c r="F30" s="50" t="s">
        <v>0</v>
      </c>
      <c r="G30" s="14" t="s">
        <v>18</v>
      </c>
      <c r="H30" s="51">
        <f>MEDIAN(H21:H27)</f>
        <v>0.16447848913043478</v>
      </c>
      <c r="I30" s="12"/>
    </row>
    <row r="31" spans="1:11" ht="17">
      <c r="A31" s="12"/>
      <c r="B31" s="12"/>
      <c r="D31" s="55" t="s">
        <v>0</v>
      </c>
      <c r="E31" s="50" t="s">
        <v>0</v>
      </c>
      <c r="F31" s="55" t="s">
        <v>0</v>
      </c>
      <c r="G31" s="14" t="s">
        <v>440</v>
      </c>
      <c r="H31" s="51">
        <f>AVERAGE(H21:H27)</f>
        <v>0.16619431840835616</v>
      </c>
      <c r="I31" s="12"/>
    </row>
    <row r="32" spans="1:11" ht="17">
      <c r="A32" s="12"/>
      <c r="B32" s="12"/>
      <c r="C32" s="14"/>
      <c r="D32" s="18"/>
      <c r="E32" s="19"/>
      <c r="F32" s="18"/>
      <c r="G32" s="20"/>
      <c r="H32" s="20"/>
      <c r="I32" s="12"/>
    </row>
    <row r="33" spans="1:9" ht="17.5" thickBot="1">
      <c r="A33" s="12"/>
      <c r="B33" s="12"/>
      <c r="C33" s="12"/>
      <c r="D33" s="12"/>
      <c r="E33" s="12"/>
      <c r="F33" s="12"/>
      <c r="G33" s="12"/>
      <c r="H33" s="12"/>
      <c r="I33" s="12"/>
    </row>
    <row r="34" spans="1:9" ht="26.5" thickBot="1">
      <c r="A34" s="12"/>
      <c r="B34" s="12"/>
      <c r="C34" s="12"/>
      <c r="D34" s="12"/>
      <c r="F34" s="205"/>
      <c r="G34" s="206" t="s">
        <v>238</v>
      </c>
      <c r="H34" s="347">
        <v>0.16619999999999999</v>
      </c>
      <c r="I34" s="12"/>
    </row>
    <row r="35" spans="1:9" ht="17">
      <c r="A35" s="12"/>
      <c r="B35" s="12"/>
      <c r="C35" s="12"/>
      <c r="D35" s="12"/>
      <c r="E35" s="12"/>
      <c r="F35" s="12"/>
      <c r="G35" s="12"/>
      <c r="H35" s="12"/>
      <c r="I35" s="12"/>
    </row>
    <row r="36" spans="1:9" ht="26.5">
      <c r="A36" s="23" t="s">
        <v>0</v>
      </c>
      <c r="B36" s="12"/>
      <c r="C36" s="12"/>
      <c r="D36" s="12"/>
      <c r="E36" s="12"/>
      <c r="F36" s="12"/>
      <c r="G36" s="22" t="s">
        <v>0</v>
      </c>
      <c r="H36" s="12"/>
      <c r="I36" s="12"/>
    </row>
    <row r="37" spans="1:9" ht="17">
      <c r="A37" s="43"/>
      <c r="B37" s="12"/>
      <c r="C37" s="12"/>
      <c r="D37" s="12"/>
      <c r="E37" s="12"/>
      <c r="F37" s="12"/>
      <c r="G37" s="12"/>
      <c r="H37" s="12"/>
      <c r="I37" s="12"/>
    </row>
    <row r="38" spans="1:9" ht="25.5">
      <c r="A38" s="23" t="s">
        <v>321</v>
      </c>
      <c r="B38" s="12"/>
      <c r="C38" s="12"/>
      <c r="D38" s="12"/>
      <c r="E38" s="12"/>
      <c r="F38" s="12"/>
      <c r="G38" s="12"/>
      <c r="H38" s="12"/>
      <c r="I38" s="12"/>
    </row>
    <row r="39" spans="1:9" ht="17">
      <c r="A39" s="43"/>
      <c r="B39" s="12"/>
      <c r="C39" s="12"/>
      <c r="D39" s="12"/>
      <c r="E39" s="12"/>
      <c r="F39" s="12"/>
      <c r="G39" s="12"/>
      <c r="H39" s="12"/>
      <c r="I39" s="12"/>
    </row>
    <row r="40" spans="1:9" ht="17.5">
      <c r="A40" s="62" t="s">
        <v>205</v>
      </c>
      <c r="B40" s="12"/>
      <c r="C40" s="12"/>
      <c r="D40" s="12"/>
      <c r="E40" s="12"/>
      <c r="F40" s="12"/>
      <c r="G40" s="12"/>
      <c r="H40" s="12"/>
      <c r="I40" s="12"/>
    </row>
    <row r="41" spans="1:9" ht="17.5">
      <c r="A41" s="62" t="s">
        <v>324</v>
      </c>
      <c r="B41" s="12"/>
      <c r="C41" s="12"/>
      <c r="D41" s="12"/>
      <c r="E41" s="12"/>
      <c r="F41" s="12"/>
      <c r="G41" s="12"/>
      <c r="H41" s="12"/>
      <c r="I41" s="12"/>
    </row>
    <row r="42" spans="1:9" ht="17.5">
      <c r="A42" s="62" t="s">
        <v>322</v>
      </c>
      <c r="B42" s="12"/>
      <c r="C42" s="12"/>
      <c r="D42" s="12"/>
      <c r="E42" s="12"/>
      <c r="F42" s="12"/>
      <c r="G42" s="12"/>
      <c r="H42" s="12"/>
      <c r="I42" s="12"/>
    </row>
    <row r="43" spans="1:9" ht="17.5">
      <c r="A43" s="62" t="s">
        <v>323</v>
      </c>
      <c r="B43" s="12"/>
      <c r="C43" s="12"/>
      <c r="D43" s="12"/>
      <c r="E43" s="12"/>
      <c r="F43" s="12"/>
      <c r="G43" s="12"/>
      <c r="H43" s="12"/>
      <c r="I43" s="12"/>
    </row>
    <row r="44" spans="1:9" ht="17.5">
      <c r="A44" s="62" t="s">
        <v>325</v>
      </c>
      <c r="B44" s="12"/>
      <c r="C44" s="12"/>
      <c r="D44" s="12"/>
      <c r="E44" s="12"/>
      <c r="F44" s="12"/>
      <c r="G44" s="12"/>
      <c r="H44" s="12"/>
      <c r="I44" s="12"/>
    </row>
    <row r="45" spans="1:9" ht="17">
      <c r="A45" s="12"/>
      <c r="B45" s="12"/>
      <c r="C45" s="12"/>
      <c r="D45" s="12"/>
      <c r="E45" s="12"/>
      <c r="F45" s="12"/>
      <c r="G45" s="12"/>
      <c r="H45" s="12"/>
      <c r="I45" s="12"/>
    </row>
    <row r="46" spans="1:9" ht="17">
      <c r="A46" s="12"/>
      <c r="B46" s="12"/>
      <c r="C46" s="12"/>
      <c r="D46" s="12"/>
      <c r="E46" s="12"/>
      <c r="F46" s="12"/>
      <c r="G46" s="12"/>
      <c r="H46" s="12"/>
      <c r="I46" s="12"/>
    </row>
    <row r="47" spans="1:9" ht="17">
      <c r="A47" s="12"/>
      <c r="B47" s="12"/>
      <c r="C47" s="12"/>
      <c r="D47" s="12"/>
      <c r="E47" s="12"/>
      <c r="F47" s="12"/>
      <c r="G47" s="12"/>
      <c r="H47" s="12"/>
      <c r="I47" s="12"/>
    </row>
    <row r="48" spans="1:9" ht="17">
      <c r="A48" s="12"/>
      <c r="B48" s="12"/>
      <c r="C48" s="12"/>
      <c r="D48" s="12"/>
      <c r="E48" s="12"/>
      <c r="F48" s="12"/>
      <c r="G48" s="12"/>
      <c r="H48" s="12"/>
      <c r="I48" s="12"/>
    </row>
    <row r="49" spans="1:9" ht="17">
      <c r="A49" s="12"/>
      <c r="B49" s="12"/>
      <c r="C49" s="12"/>
      <c r="D49" s="12"/>
      <c r="E49" s="12"/>
      <c r="F49" s="12"/>
      <c r="G49" s="12"/>
      <c r="H49" s="12"/>
      <c r="I49" s="12"/>
    </row>
    <row r="50" spans="1:9" ht="17">
      <c r="A50" s="12"/>
      <c r="B50" s="12"/>
      <c r="C50" s="12"/>
      <c r="D50" s="12"/>
      <c r="E50" s="12"/>
      <c r="F50" s="12"/>
      <c r="G50" s="12"/>
      <c r="H50" s="12"/>
      <c r="I50" s="12"/>
    </row>
    <row r="51" spans="1:9" ht="17">
      <c r="A51" s="12"/>
      <c r="B51" s="12"/>
      <c r="C51" s="12"/>
      <c r="D51" s="12"/>
      <c r="E51" s="12"/>
      <c r="F51" s="12"/>
      <c r="G51" s="12"/>
      <c r="H51" s="12"/>
      <c r="I51" s="12"/>
    </row>
    <row r="52" spans="1:9" ht="17">
      <c r="A52" s="12"/>
      <c r="B52" s="12"/>
      <c r="C52" s="12"/>
      <c r="D52" s="12"/>
      <c r="E52" s="12"/>
      <c r="F52" s="12"/>
      <c r="G52" s="12"/>
      <c r="H52" s="12"/>
      <c r="I52" s="12"/>
    </row>
    <row r="53" spans="1:9" ht="17">
      <c r="A53" s="12"/>
      <c r="B53" s="12"/>
      <c r="C53" s="12"/>
      <c r="D53" s="12"/>
      <c r="E53" s="12"/>
      <c r="F53" s="12"/>
      <c r="G53" s="12"/>
      <c r="H53" s="12"/>
      <c r="I53" s="12"/>
    </row>
    <row r="54" spans="1:9" ht="17">
      <c r="A54" s="12"/>
      <c r="B54" s="12"/>
      <c r="C54" s="12"/>
      <c r="D54" s="12"/>
      <c r="E54" s="12"/>
      <c r="F54" s="12"/>
      <c r="G54" s="12"/>
      <c r="H54" s="12"/>
      <c r="I54" s="12"/>
    </row>
    <row r="55" spans="1:9" ht="17">
      <c r="A55" s="12"/>
      <c r="B55" s="12"/>
      <c r="C55" s="12"/>
      <c r="D55" s="12"/>
      <c r="E55" s="12"/>
      <c r="F55" s="12"/>
      <c r="G55" s="12"/>
      <c r="H55" s="12"/>
      <c r="I55" s="12"/>
    </row>
    <row r="56" spans="1:9" ht="17">
      <c r="A56" s="12"/>
      <c r="B56" s="12"/>
      <c r="C56" s="12"/>
      <c r="D56" s="12"/>
      <c r="E56" s="12"/>
      <c r="F56" s="12"/>
      <c r="G56" s="12"/>
      <c r="H56" s="12"/>
      <c r="I56" s="12"/>
    </row>
    <row r="57" spans="1:9" ht="17">
      <c r="A57" s="12"/>
      <c r="B57" s="12"/>
      <c r="C57" s="12"/>
      <c r="D57" s="12"/>
      <c r="E57" s="12"/>
      <c r="F57" s="12"/>
      <c r="G57" s="12"/>
      <c r="H57" s="12"/>
      <c r="I57" s="12"/>
    </row>
    <row r="58" spans="1:9" ht="17">
      <c r="A58" s="12"/>
      <c r="B58" s="12"/>
      <c r="C58" s="12"/>
      <c r="D58" s="12"/>
      <c r="E58" s="12"/>
      <c r="F58" s="12"/>
      <c r="G58" s="12"/>
      <c r="H58" s="12"/>
      <c r="I58" s="12"/>
    </row>
    <row r="59" spans="1:9" ht="17">
      <c r="A59" s="12"/>
      <c r="B59" s="12"/>
      <c r="C59" s="12"/>
      <c r="D59" s="12"/>
      <c r="E59" s="12"/>
      <c r="F59" s="12"/>
      <c r="G59" s="12"/>
      <c r="H59" s="12"/>
      <c r="I59" s="12"/>
    </row>
    <row r="60" spans="1:9" ht="17">
      <c r="A60" s="12"/>
      <c r="B60" s="12"/>
      <c r="C60" s="12"/>
      <c r="D60" s="12"/>
      <c r="E60" s="12"/>
      <c r="F60" s="12"/>
      <c r="G60" s="12"/>
      <c r="H60" s="12"/>
      <c r="I60" s="12"/>
    </row>
    <row r="61" spans="1:9" ht="17">
      <c r="A61" s="12"/>
      <c r="B61" s="12"/>
      <c r="C61" s="12"/>
      <c r="D61" s="12"/>
      <c r="E61" s="12"/>
      <c r="F61" s="12"/>
      <c r="G61" s="12"/>
      <c r="H61" s="12"/>
      <c r="I61" s="12"/>
    </row>
    <row r="62" spans="1:9" ht="17">
      <c r="A62" s="12"/>
      <c r="B62" s="12"/>
      <c r="C62" s="12"/>
      <c r="D62" s="12"/>
      <c r="E62" s="12"/>
      <c r="F62" s="12"/>
      <c r="G62" s="12"/>
      <c r="H62" s="12"/>
      <c r="I62" s="12"/>
    </row>
    <row r="63" spans="1:9" ht="17">
      <c r="A63" s="12"/>
      <c r="B63" s="12"/>
      <c r="C63" s="12"/>
      <c r="D63" s="12"/>
      <c r="E63" s="12"/>
      <c r="F63" s="12"/>
      <c r="G63" s="12"/>
      <c r="H63" s="12"/>
      <c r="I63" s="12"/>
    </row>
    <row r="64" spans="1:9" ht="17">
      <c r="A64" s="12"/>
      <c r="B64" s="12"/>
      <c r="C64" s="12"/>
      <c r="D64" s="12"/>
      <c r="E64" s="12"/>
      <c r="F64" s="12"/>
      <c r="G64" s="12"/>
      <c r="H64" s="12"/>
      <c r="I64" s="12"/>
    </row>
    <row r="65" spans="1:9" ht="17">
      <c r="A65" s="12"/>
      <c r="B65" s="12"/>
      <c r="C65" s="12"/>
      <c r="D65" s="12"/>
      <c r="E65" s="12"/>
      <c r="F65" s="12"/>
      <c r="G65" s="12"/>
      <c r="H65" s="12"/>
      <c r="I65" s="12"/>
    </row>
    <row r="66" spans="1:9" ht="17">
      <c r="A66" s="12"/>
      <c r="B66" s="12"/>
      <c r="C66" s="12"/>
      <c r="D66" s="12"/>
      <c r="E66" s="12"/>
      <c r="F66" s="12"/>
      <c r="G66" s="12"/>
      <c r="H66" s="12"/>
      <c r="I66" s="12"/>
    </row>
    <row r="67" spans="1:9" ht="17">
      <c r="A67" s="12"/>
      <c r="B67" s="12"/>
      <c r="C67" s="12"/>
      <c r="D67" s="12"/>
      <c r="E67" s="12"/>
      <c r="F67" s="12"/>
      <c r="G67" s="12"/>
      <c r="H67" s="12"/>
      <c r="I67" s="12"/>
    </row>
    <row r="68" spans="1:9" ht="17">
      <c r="A68" s="12"/>
      <c r="B68" s="12"/>
      <c r="C68" s="12"/>
      <c r="D68" s="12"/>
      <c r="E68" s="12"/>
      <c r="F68" s="12"/>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c r="B74" s="12"/>
      <c r="C74" s="12"/>
      <c r="D74" s="12"/>
      <c r="E74" s="12"/>
      <c r="F74" s="12"/>
      <c r="G74" s="12"/>
      <c r="H74" s="12"/>
      <c r="I74" s="12"/>
    </row>
    <row r="75" spans="1:9" ht="17">
      <c r="A75" s="12"/>
      <c r="B75" s="12"/>
      <c r="C75" s="12"/>
      <c r="D75" s="12"/>
      <c r="E75" s="12"/>
      <c r="F75" s="12"/>
      <c r="G75" s="12"/>
      <c r="H75" s="12"/>
      <c r="I75" s="12"/>
    </row>
    <row r="76" spans="1:9" ht="17">
      <c r="A76" s="12"/>
      <c r="B76" s="12"/>
      <c r="C76" s="12"/>
      <c r="D76" s="12"/>
      <c r="E76" s="12"/>
      <c r="F76" s="12"/>
      <c r="G76" s="12"/>
      <c r="H76" s="12"/>
      <c r="I76" s="12"/>
    </row>
    <row r="77" spans="1:9" ht="17">
      <c r="A77" s="12"/>
      <c r="B77" s="12"/>
      <c r="C77" s="12"/>
      <c r="D77" s="12"/>
      <c r="E77" s="12"/>
      <c r="F77" s="12"/>
      <c r="G77" s="12"/>
      <c r="H77" s="12"/>
      <c r="I77" s="12"/>
    </row>
    <row r="78" spans="1:9" ht="17">
      <c r="A78" s="12"/>
      <c r="B78" s="12"/>
      <c r="C78" s="12"/>
      <c r="D78" s="12"/>
      <c r="E78" s="12"/>
      <c r="F78" s="12"/>
      <c r="G78" s="12"/>
      <c r="H78" s="12"/>
      <c r="I78" s="12"/>
    </row>
    <row r="79" spans="1:9" ht="17">
      <c r="A79" s="12"/>
      <c r="B79" s="12"/>
      <c r="C79" s="12"/>
      <c r="D79" s="12"/>
      <c r="E79" s="12"/>
      <c r="F79" s="12"/>
      <c r="G79" s="12"/>
      <c r="H79" s="12"/>
      <c r="I79" s="12"/>
    </row>
    <row r="80" spans="1:9" ht="17">
      <c r="A80" s="12"/>
      <c r="B80" s="12"/>
      <c r="C80" s="12"/>
      <c r="D80" s="12"/>
      <c r="E80" s="12"/>
      <c r="F80" s="12"/>
      <c r="G80" s="12"/>
      <c r="H80" s="12"/>
      <c r="I80" s="12"/>
    </row>
    <row r="81" spans="1:9" ht="17">
      <c r="A81" s="12"/>
      <c r="B81" s="12"/>
      <c r="C81" s="12"/>
      <c r="D81" s="12"/>
      <c r="E81" s="12"/>
      <c r="F81" s="12"/>
      <c r="G81" s="12"/>
      <c r="H81" s="12"/>
      <c r="I81" s="12"/>
    </row>
    <row r="82" spans="1:9" ht="17">
      <c r="A82" s="12"/>
      <c r="B82" s="12"/>
      <c r="C82" s="12"/>
      <c r="D82" s="12"/>
      <c r="E82" s="12"/>
      <c r="F82" s="12"/>
      <c r="G82" s="12"/>
      <c r="H82" s="12"/>
      <c r="I82" s="12"/>
    </row>
    <row r="83" spans="1:9" ht="17">
      <c r="A83" s="12"/>
      <c r="B83" s="12"/>
      <c r="C83" s="12"/>
      <c r="D83" s="12"/>
      <c r="E83" s="12"/>
      <c r="F83" s="12"/>
      <c r="G83" s="12"/>
      <c r="H83" s="12"/>
      <c r="I83" s="12"/>
    </row>
    <row r="84" spans="1:9" ht="17">
      <c r="A84" s="12"/>
      <c r="B84" s="12"/>
      <c r="C84" s="12"/>
      <c r="D84" s="12"/>
      <c r="E84" s="12"/>
      <c r="F84" s="12"/>
      <c r="G84" s="12"/>
      <c r="H84" s="12"/>
      <c r="I84" s="12"/>
    </row>
    <row r="85" spans="1:9" ht="17">
      <c r="A85" s="12"/>
      <c r="B85" s="12"/>
      <c r="C85" s="12"/>
      <c r="D85" s="12"/>
      <c r="E85" s="12"/>
      <c r="F85" s="12"/>
      <c r="G85" s="12"/>
      <c r="H85" s="12"/>
      <c r="I85" s="12"/>
    </row>
    <row r="86" spans="1:9" ht="17">
      <c r="A86" s="12"/>
      <c r="B86" s="12"/>
      <c r="C86" s="12"/>
      <c r="D86" s="12"/>
      <c r="E86" s="12"/>
      <c r="F86" s="12"/>
      <c r="G86" s="12"/>
      <c r="H86" s="12"/>
      <c r="I86" s="12"/>
    </row>
    <row r="87" spans="1:9" ht="17">
      <c r="A87" s="12"/>
      <c r="B87" s="12"/>
      <c r="C87" s="12"/>
      <c r="D87" s="12"/>
      <c r="E87" s="12"/>
      <c r="F87" s="12"/>
      <c r="G87" s="12"/>
      <c r="H87" s="12"/>
      <c r="I87" s="12"/>
    </row>
    <row r="88" spans="1:9" ht="17">
      <c r="A88" s="12"/>
      <c r="B88" s="12"/>
      <c r="C88" s="12"/>
      <c r="D88" s="12"/>
      <c r="E88" s="12"/>
      <c r="F88" s="12"/>
      <c r="G88" s="12"/>
      <c r="H88" s="12"/>
      <c r="I88" s="12"/>
    </row>
    <row r="89" spans="1:9" ht="17">
      <c r="A89" s="12"/>
      <c r="B89" s="12"/>
      <c r="C89" s="12"/>
      <c r="D89" s="12"/>
      <c r="E89" s="12"/>
      <c r="F89" s="12"/>
      <c r="G89" s="12"/>
      <c r="H89" s="12"/>
      <c r="I89" s="12"/>
    </row>
    <row r="90" spans="1:9" ht="17">
      <c r="A90" s="12"/>
      <c r="B90" s="12"/>
      <c r="C90" s="12"/>
      <c r="D90" s="12"/>
      <c r="E90" s="12"/>
      <c r="F90" s="12"/>
      <c r="G90" s="12"/>
      <c r="H90" s="12"/>
      <c r="I90" s="12"/>
    </row>
    <row r="91" spans="1:9" ht="17">
      <c r="A91" s="12"/>
      <c r="B91" s="12"/>
      <c r="C91" s="12"/>
      <c r="D91" s="12"/>
      <c r="E91" s="12"/>
      <c r="F91" s="12"/>
      <c r="G91" s="12"/>
      <c r="H91" s="12"/>
      <c r="I91" s="12"/>
    </row>
    <row r="92" spans="1:9" ht="17">
      <c r="A92" s="12"/>
      <c r="B92" s="12"/>
      <c r="C92" s="12"/>
      <c r="D92" s="12"/>
      <c r="E92" s="12"/>
      <c r="F92" s="12"/>
      <c r="G92" s="12"/>
      <c r="H92" s="12"/>
      <c r="I92" s="12"/>
    </row>
    <row r="93" spans="1:9" ht="17">
      <c r="A93" s="12"/>
      <c r="B93" s="12"/>
      <c r="C93" s="12"/>
      <c r="D93" s="12"/>
      <c r="E93" s="12"/>
      <c r="F93" s="12"/>
      <c r="G93" s="12"/>
      <c r="H93" s="12"/>
      <c r="I93" s="12"/>
    </row>
    <row r="94" spans="1:9" ht="17">
      <c r="A94" s="12"/>
      <c r="B94" s="12"/>
      <c r="C94" s="12"/>
      <c r="D94" s="12"/>
      <c r="E94" s="12"/>
      <c r="F94" s="12"/>
      <c r="G94" s="12"/>
      <c r="H94" s="12"/>
      <c r="I94" s="12"/>
    </row>
    <row r="95" spans="1:9" ht="17">
      <c r="A95" s="12"/>
      <c r="B95" s="12"/>
      <c r="C95" s="12"/>
      <c r="D95" s="12"/>
      <c r="E95" s="12"/>
      <c r="F95" s="12"/>
      <c r="G95" s="12"/>
      <c r="H95" s="12"/>
      <c r="I95" s="12"/>
    </row>
    <row r="96" spans="1:9" ht="17">
      <c r="A96" s="12"/>
      <c r="B96" s="12"/>
      <c r="C96" s="12"/>
      <c r="D96" s="12"/>
      <c r="E96" s="12"/>
      <c r="F96" s="12"/>
      <c r="G96" s="12"/>
      <c r="H96" s="12"/>
      <c r="I96" s="12"/>
    </row>
    <row r="97" spans="1:9" ht="17">
      <c r="A97" s="12"/>
      <c r="B97" s="12"/>
      <c r="C97" s="12"/>
      <c r="D97" s="12"/>
      <c r="E97" s="12"/>
      <c r="F97" s="12"/>
      <c r="G97" s="12"/>
      <c r="H97" s="12"/>
      <c r="I97" s="12"/>
    </row>
    <row r="98" spans="1:9" ht="17">
      <c r="A98" s="12"/>
      <c r="B98" s="12"/>
      <c r="C98" s="12"/>
      <c r="D98" s="12"/>
      <c r="E98" s="12"/>
      <c r="F98" s="12"/>
      <c r="G98" s="12"/>
      <c r="H98" s="12"/>
      <c r="I98" s="12"/>
    </row>
    <row r="99" spans="1:9" ht="17">
      <c r="A99" s="12"/>
      <c r="B99" s="12"/>
      <c r="C99" s="12"/>
      <c r="D99" s="12"/>
      <c r="E99" s="12"/>
      <c r="F99" s="12"/>
      <c r="G99" s="12"/>
      <c r="H99" s="12"/>
      <c r="I99" s="12"/>
    </row>
    <row r="100" spans="1:9" ht="17">
      <c r="A100" s="12"/>
      <c r="B100" s="12"/>
      <c r="C100" s="12"/>
      <c r="D100" s="12"/>
      <c r="E100" s="12"/>
      <c r="F100" s="12"/>
      <c r="G100" s="12"/>
      <c r="H100" s="12"/>
      <c r="I100" s="12"/>
    </row>
    <row r="101" spans="1:9" ht="17">
      <c r="A101" s="12"/>
      <c r="B101" s="12"/>
      <c r="C101" s="12"/>
      <c r="D101" s="12"/>
      <c r="E101" s="12"/>
      <c r="F101" s="12"/>
      <c r="G101" s="12"/>
      <c r="H101" s="12"/>
      <c r="I101" s="12"/>
    </row>
    <row r="102" spans="1:9" ht="17">
      <c r="A102" s="12"/>
      <c r="B102" s="12"/>
      <c r="C102" s="12"/>
      <c r="D102" s="12"/>
      <c r="E102" s="12"/>
      <c r="F102" s="12"/>
      <c r="G102" s="12"/>
      <c r="H102" s="12"/>
      <c r="I102" s="12"/>
    </row>
    <row r="103" spans="1:9" ht="17">
      <c r="A103" s="12"/>
      <c r="B103" s="12"/>
      <c r="C103" s="12"/>
      <c r="D103" s="12"/>
      <c r="E103" s="12"/>
      <c r="F103" s="12"/>
      <c r="G103" s="12"/>
      <c r="H103" s="12"/>
      <c r="I103" s="12"/>
    </row>
    <row r="104" spans="1:9" ht="17">
      <c r="A104" s="12"/>
      <c r="B104" s="12"/>
      <c r="C104" s="12"/>
      <c r="D104" s="12"/>
      <c r="E104" s="12"/>
      <c r="F104" s="12"/>
      <c r="G104" s="12"/>
      <c r="H104" s="12"/>
      <c r="I104" s="12"/>
    </row>
    <row r="105" spans="1:9" ht="17">
      <c r="A105" s="12"/>
      <c r="B105" s="12"/>
      <c r="C105" s="12"/>
      <c r="D105" s="12"/>
      <c r="E105" s="12"/>
      <c r="F105" s="12"/>
      <c r="G105" s="12"/>
      <c r="H105" s="12"/>
      <c r="I105" s="12"/>
    </row>
    <row r="106" spans="1:9" ht="17">
      <c r="A106" s="12"/>
      <c r="B106" s="12"/>
      <c r="C106" s="12"/>
      <c r="D106" s="12"/>
      <c r="E106" s="12"/>
      <c r="F106" s="12"/>
      <c r="G106" s="12"/>
      <c r="H106" s="12"/>
      <c r="I106" s="12"/>
    </row>
    <row r="107" spans="1:9" ht="17">
      <c r="A107" s="12"/>
      <c r="B107" s="12"/>
      <c r="C107" s="12"/>
      <c r="D107" s="12"/>
      <c r="E107" s="12"/>
      <c r="F107" s="12"/>
      <c r="G107" s="12"/>
      <c r="H107" s="12"/>
      <c r="I107" s="12"/>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tabColor rgb="FF92D050"/>
  </sheetPr>
  <dimension ref="A1:O48"/>
  <sheetViews>
    <sheetView view="pageBreakPreview" zoomScale="60" zoomScaleNormal="80" workbookViewId="0">
      <selection activeCell="I32" sqref="I32"/>
    </sheetView>
  </sheetViews>
  <sheetFormatPr defaultRowHeight="14.5"/>
  <cols>
    <col min="1" max="1" width="21.54296875" customWidth="1"/>
    <col min="2" max="2" width="45.7265625" customWidth="1"/>
    <col min="3" max="3" width="20.81640625" customWidth="1"/>
    <col min="4" max="4" width="24" customWidth="1"/>
    <col min="5" max="5" width="29.26953125" customWidth="1"/>
    <col min="6" max="6" width="25.54296875" customWidth="1"/>
    <col min="7" max="7" width="20.1796875" customWidth="1"/>
    <col min="8" max="9" width="27.26953125" customWidth="1"/>
    <col min="10" max="10" width="19.26953125" customWidth="1"/>
    <col min="11" max="11" width="21.26953125" customWidth="1"/>
    <col min="12" max="12" width="4.453125" customWidth="1"/>
    <col min="13" max="13" width="22.7265625" customWidth="1"/>
    <col min="14" max="14" width="17.26953125" customWidth="1"/>
  </cols>
  <sheetData>
    <row r="1" spans="1:15" ht="25.5">
      <c r="A1" s="23" t="s">
        <v>1</v>
      </c>
      <c r="C1" s="12"/>
      <c r="D1" s="12"/>
      <c r="E1" s="12"/>
      <c r="F1" s="12"/>
      <c r="G1" s="12"/>
      <c r="H1" s="12"/>
      <c r="I1" s="12"/>
      <c r="J1" s="12"/>
      <c r="K1" s="12"/>
      <c r="L1" s="12"/>
      <c r="M1" s="12"/>
      <c r="N1" s="12"/>
      <c r="O1" s="12"/>
    </row>
    <row r="2" spans="1:15" ht="17.5">
      <c r="A2" s="62" t="s">
        <v>9</v>
      </c>
      <c r="C2" s="12"/>
      <c r="D2" s="12"/>
      <c r="E2" s="12"/>
      <c r="F2" s="12"/>
      <c r="G2" s="12"/>
      <c r="H2" s="12"/>
      <c r="I2" s="12"/>
      <c r="J2" s="12"/>
      <c r="K2" s="12"/>
      <c r="L2" s="12"/>
      <c r="M2" s="12"/>
      <c r="N2" s="12"/>
      <c r="O2" s="12"/>
    </row>
    <row r="3" spans="1:15" ht="17">
      <c r="A3" s="25" t="s">
        <v>480</v>
      </c>
      <c r="C3" s="12"/>
      <c r="D3" s="12"/>
      <c r="E3" s="12"/>
      <c r="F3" s="12"/>
      <c r="G3" s="12"/>
      <c r="H3" s="12"/>
      <c r="I3" s="12"/>
      <c r="J3" s="12"/>
      <c r="K3" s="12"/>
      <c r="L3" s="12"/>
      <c r="M3" s="12"/>
      <c r="N3" s="12"/>
      <c r="O3" s="12"/>
    </row>
    <row r="4" spans="1:15" ht="17">
      <c r="A4" s="12"/>
      <c r="C4" s="12"/>
      <c r="D4" s="12"/>
      <c r="E4" s="26" t="s">
        <v>0</v>
      </c>
      <c r="F4" s="12"/>
      <c r="G4" s="12"/>
      <c r="H4" s="12"/>
      <c r="I4" s="12"/>
      <c r="J4" s="12"/>
      <c r="K4" s="12"/>
      <c r="L4" s="12"/>
      <c r="M4" s="12"/>
      <c r="N4" s="12"/>
      <c r="O4" s="12"/>
    </row>
    <row r="5" spans="1:15" ht="18" thickBot="1">
      <c r="A5" s="62"/>
      <c r="C5" s="12"/>
      <c r="D5" s="12"/>
      <c r="E5" s="12"/>
      <c r="F5" s="12"/>
      <c r="G5" s="12"/>
      <c r="H5" s="12"/>
      <c r="I5" s="12"/>
      <c r="J5" s="12"/>
      <c r="K5" s="12"/>
      <c r="L5" s="12"/>
      <c r="M5" s="12"/>
      <c r="N5" s="12"/>
      <c r="O5" s="12"/>
    </row>
    <row r="6" spans="1:15" ht="21.5" thickBot="1">
      <c r="A6" s="282" t="str">
        <f>+'S&amp;D'!A12</f>
        <v>Liquid Transportation Pipeline Carriers</v>
      </c>
      <c r="B6" s="200"/>
      <c r="C6" s="12"/>
      <c r="D6" s="12"/>
      <c r="E6" s="12"/>
      <c r="F6" s="12"/>
      <c r="G6" s="12"/>
      <c r="H6" s="12"/>
      <c r="I6" s="12"/>
    </row>
    <row r="7" spans="1:15" ht="18" thickBot="1">
      <c r="A7" s="62"/>
      <c r="C7" s="12"/>
      <c r="D7" s="28"/>
      <c r="E7" s="28"/>
      <c r="F7" s="28"/>
      <c r="G7" s="12"/>
      <c r="H7" s="12"/>
      <c r="I7" s="12"/>
    </row>
    <row r="8" spans="1:15" ht="25.5">
      <c r="C8" s="12"/>
      <c r="D8" s="12"/>
      <c r="E8" s="31" t="s">
        <v>416</v>
      </c>
      <c r="F8" s="12"/>
      <c r="G8" s="12"/>
      <c r="H8" s="12"/>
      <c r="I8" s="12"/>
    </row>
    <row r="9" spans="1:15" ht="21.5" thickBot="1">
      <c r="B9" s="30"/>
      <c r="C9" s="12"/>
      <c r="D9" s="28"/>
      <c r="E9" s="32" t="s">
        <v>481</v>
      </c>
      <c r="F9" s="28"/>
      <c r="G9" s="12"/>
      <c r="H9" s="12"/>
      <c r="I9" s="12"/>
    </row>
    <row r="10" spans="1:15" ht="17.5" thickBot="1">
      <c r="B10" s="33" t="s">
        <v>0</v>
      </c>
      <c r="C10" s="33" t="s">
        <v>0</v>
      </c>
      <c r="D10" s="33" t="s">
        <v>0</v>
      </c>
      <c r="E10" s="33" t="s">
        <v>0</v>
      </c>
      <c r="F10" s="33" t="s">
        <v>0</v>
      </c>
      <c r="G10" s="33"/>
      <c r="H10" s="33" t="s">
        <v>0</v>
      </c>
      <c r="I10" s="28"/>
      <c r="J10" s="159"/>
    </row>
    <row r="11" spans="1:15" ht="17">
      <c r="B11" s="34" t="s">
        <v>0</v>
      </c>
      <c r="C11" s="34" t="s">
        <v>3</v>
      </c>
      <c r="D11" s="34" t="s">
        <v>357</v>
      </c>
      <c r="E11" s="411" t="s">
        <v>358</v>
      </c>
      <c r="F11" s="34" t="s">
        <v>233</v>
      </c>
      <c r="G11" s="34" t="s">
        <v>26</v>
      </c>
      <c r="H11" s="411" t="s">
        <v>415</v>
      </c>
      <c r="I11" s="34" t="s">
        <v>415</v>
      </c>
      <c r="J11" s="34" t="s">
        <v>26</v>
      </c>
    </row>
    <row r="12" spans="1:15" ht="17.5" thickBot="1">
      <c r="B12" s="36" t="s">
        <v>2</v>
      </c>
      <c r="C12" s="36" t="s">
        <v>4</v>
      </c>
      <c r="D12" s="36" t="s">
        <v>27</v>
      </c>
      <c r="E12" s="412" t="s">
        <v>170</v>
      </c>
      <c r="F12" s="36" t="s">
        <v>418</v>
      </c>
      <c r="G12" s="36" t="s">
        <v>29</v>
      </c>
      <c r="H12" s="412" t="s">
        <v>417</v>
      </c>
      <c r="I12" s="36" t="s">
        <v>28</v>
      </c>
      <c r="J12" s="36" t="s">
        <v>29</v>
      </c>
    </row>
    <row r="13" spans="1:15" ht="15">
      <c r="B13" s="38" t="s">
        <v>0</v>
      </c>
      <c r="C13" s="38" t="s">
        <v>0</v>
      </c>
      <c r="D13" s="39" t="s">
        <v>114</v>
      </c>
      <c r="E13" s="413" t="s">
        <v>115</v>
      </c>
      <c r="F13" s="38" t="s">
        <v>0</v>
      </c>
      <c r="G13" s="38" t="s">
        <v>0</v>
      </c>
      <c r="H13" s="413" t="s">
        <v>115</v>
      </c>
      <c r="I13" s="38" t="s">
        <v>0</v>
      </c>
      <c r="J13" s="38" t="s">
        <v>0</v>
      </c>
    </row>
    <row r="14" spans="1:15" ht="17">
      <c r="B14" s="34"/>
      <c r="C14" s="34"/>
      <c r="D14" s="34"/>
      <c r="E14" s="414"/>
      <c r="F14" s="34"/>
      <c r="G14" s="34"/>
      <c r="H14" s="414"/>
      <c r="I14" s="34"/>
      <c r="J14" s="34"/>
    </row>
    <row r="15" spans="1:15" ht="17">
      <c r="B15" s="12"/>
      <c r="C15" s="12"/>
      <c r="D15" s="12"/>
      <c r="E15" s="415"/>
      <c r="F15" s="12"/>
      <c r="G15" s="12"/>
      <c r="H15" s="415"/>
      <c r="I15" s="12"/>
      <c r="J15" s="12"/>
    </row>
    <row r="16" spans="1:15" ht="17.5">
      <c r="B16" s="62" t="str">
        <f>+'S&amp;D'!A22</f>
        <v>Energy Transfer LP</v>
      </c>
      <c r="C16" s="91" t="str">
        <f>+'S&amp;D'!B22</f>
        <v>ET</v>
      </c>
      <c r="D16" s="195">
        <f>+'S&amp;D'!G22</f>
        <v>13.8</v>
      </c>
      <c r="E16" s="417">
        <v>26.55</v>
      </c>
      <c r="F16" s="73">
        <f t="shared" ref="F16:F18" si="0">D16/E16</f>
        <v>0.51977401129943501</v>
      </c>
      <c r="G16" s="56">
        <f t="shared" ref="G16:G22" si="1">1/F16</f>
        <v>1.923913043478261</v>
      </c>
      <c r="H16" s="417">
        <v>10.95</v>
      </c>
      <c r="I16" s="73">
        <f t="shared" ref="I16:I22" si="2">D16/H16</f>
        <v>1.2602739726027399</v>
      </c>
      <c r="J16" s="56">
        <f t="shared" ref="J16:J22" si="3">1/I16</f>
        <v>0.79347826086956508</v>
      </c>
    </row>
    <row r="17" spans="2:10" ht="17.5">
      <c r="B17" s="62" t="str">
        <f>+'S&amp;D'!A23</f>
        <v>Enterprise Products Partnership LP</v>
      </c>
      <c r="C17" s="91" t="str">
        <f>+'S&amp;D'!B23</f>
        <v>EPD</v>
      </c>
      <c r="D17" s="195">
        <f>+'S&amp;D'!G23</f>
        <v>26.35</v>
      </c>
      <c r="E17" s="417">
        <v>23.1</v>
      </c>
      <c r="F17" s="73">
        <f t="shared" si="0"/>
        <v>1.1406926406926408</v>
      </c>
      <c r="G17" s="56">
        <f t="shared" si="1"/>
        <v>0.87666034155597716</v>
      </c>
      <c r="H17" s="417">
        <v>15.2</v>
      </c>
      <c r="I17" s="73">
        <f t="shared" si="2"/>
        <v>1.7335526315789476</v>
      </c>
      <c r="J17" s="56">
        <f t="shared" si="3"/>
        <v>0.57685009487666028</v>
      </c>
    </row>
    <row r="18" spans="2:10" ht="17.5">
      <c r="B18" s="62" t="str">
        <f>+'S&amp;D'!A24</f>
        <v>Hess Midstream LP</v>
      </c>
      <c r="C18" s="91" t="str">
        <f>+'S&amp;D'!B24</f>
        <v>HESM</v>
      </c>
      <c r="D18" s="195">
        <f>+'S&amp;D'!G24</f>
        <v>31.63</v>
      </c>
      <c r="E18" s="417">
        <v>18.2</v>
      </c>
      <c r="F18" s="409">
        <f t="shared" si="0"/>
        <v>1.737912087912088</v>
      </c>
      <c r="G18" s="56">
        <f t="shared" si="1"/>
        <v>0.57540309832437553</v>
      </c>
      <c r="H18" s="416">
        <v>9.65</v>
      </c>
      <c r="I18" s="409">
        <f t="shared" si="2"/>
        <v>3.2777202072538856</v>
      </c>
      <c r="J18" s="56">
        <f t="shared" si="3"/>
        <v>0.30509010433133105</v>
      </c>
    </row>
    <row r="19" spans="2:10" ht="17.5">
      <c r="B19" s="62" t="str">
        <f>+'S&amp;D'!A25</f>
        <v>MPLX, LP</v>
      </c>
      <c r="C19" s="91" t="str">
        <f>+'S&amp;D'!B25</f>
        <v>MPLX</v>
      </c>
      <c r="D19" s="195">
        <f>+'S&amp;D'!G25</f>
        <v>36.72</v>
      </c>
      <c r="E19" s="417">
        <v>12.1</v>
      </c>
      <c r="F19" s="73">
        <f t="shared" ref="F19:F22" si="4">D19/E19</f>
        <v>3.0347107438016527</v>
      </c>
      <c r="G19" s="56">
        <f t="shared" si="1"/>
        <v>0.329520697167756</v>
      </c>
      <c r="H19" s="417">
        <v>13.25</v>
      </c>
      <c r="I19" s="73">
        <f t="shared" si="2"/>
        <v>2.7713207547169811</v>
      </c>
      <c r="J19" s="56">
        <f t="shared" si="3"/>
        <v>0.36083877995642699</v>
      </c>
    </row>
    <row r="20" spans="2:10" ht="17.5">
      <c r="B20" s="62" t="str">
        <f>+'S&amp;D'!A26</f>
        <v>NuStar Energy LP</v>
      </c>
      <c r="C20" s="91" t="str">
        <f>+'S&amp;D'!B26</f>
        <v>NS</v>
      </c>
      <c r="D20" s="195">
        <f>+'S&amp;D'!G26</f>
        <v>18.68</v>
      </c>
      <c r="E20" s="417">
        <v>12.7</v>
      </c>
      <c r="F20" s="73">
        <f t="shared" si="4"/>
        <v>1.4708661417322835</v>
      </c>
      <c r="G20" s="56">
        <f t="shared" si="1"/>
        <v>0.67987152034261245</v>
      </c>
      <c r="H20" s="417">
        <v>2</v>
      </c>
      <c r="I20" s="73">
        <f t="shared" si="2"/>
        <v>9.34</v>
      </c>
      <c r="J20" s="56">
        <f t="shared" si="3"/>
        <v>0.10706638115631692</v>
      </c>
    </row>
    <row r="21" spans="2:10" ht="17.5">
      <c r="B21" s="62" t="str">
        <f>+'S&amp;D'!A27</f>
        <v>Plains All American Pipeline LP</v>
      </c>
      <c r="C21" s="91" t="str">
        <f>+'S&amp;D'!B27</f>
        <v>PAA</v>
      </c>
      <c r="D21" s="195">
        <f>+'S&amp;D'!G27</f>
        <v>15.15</v>
      </c>
      <c r="E21" s="416">
        <v>75.75</v>
      </c>
      <c r="F21" s="409">
        <f t="shared" si="4"/>
        <v>0.2</v>
      </c>
      <c r="G21" s="56">
        <f t="shared" si="1"/>
        <v>5</v>
      </c>
      <c r="H21" s="417">
        <v>11.8</v>
      </c>
      <c r="I21" s="409">
        <f t="shared" si="2"/>
        <v>1.2838983050847457</v>
      </c>
      <c r="J21" s="56">
        <f t="shared" si="3"/>
        <v>0.77887788778877898</v>
      </c>
    </row>
    <row r="22" spans="2:10" ht="17.5">
      <c r="B22" s="62" t="str">
        <f>+'S&amp;D'!A28</f>
        <v>Western Midstream Partners LP</v>
      </c>
      <c r="C22" s="91" t="str">
        <f>+'S&amp;D'!B28</f>
        <v>WES</v>
      </c>
      <c r="D22" s="195">
        <f>+'S&amp;D'!G28</f>
        <v>29.26</v>
      </c>
      <c r="E22" s="417">
        <v>8.5</v>
      </c>
      <c r="F22" s="73">
        <f t="shared" si="4"/>
        <v>3.4423529411764706</v>
      </c>
      <c r="G22" s="56">
        <f t="shared" si="1"/>
        <v>0.29049897470950103</v>
      </c>
      <c r="H22" s="417">
        <v>7.7</v>
      </c>
      <c r="I22" s="73">
        <f t="shared" si="2"/>
        <v>3.8000000000000003</v>
      </c>
      <c r="J22" s="56">
        <f t="shared" si="3"/>
        <v>0.26315789473684209</v>
      </c>
    </row>
    <row r="23" spans="2:10" ht="11.25" customHeight="1" thickBot="1">
      <c r="B23" s="12"/>
      <c r="C23" s="70"/>
      <c r="D23" s="70"/>
      <c r="E23" s="418"/>
      <c r="F23" s="410"/>
      <c r="G23" s="410"/>
      <c r="H23" s="418"/>
      <c r="I23" s="410"/>
      <c r="J23" s="424"/>
    </row>
    <row r="24" spans="2:10" ht="17.5" thickTop="1">
      <c r="B24" s="12"/>
      <c r="D24" s="14" t="s">
        <v>45</v>
      </c>
      <c r="E24" s="419">
        <f>MAX(E16:E22)</f>
        <v>75.75</v>
      </c>
      <c r="F24" s="71">
        <f t="shared" ref="F24:J24" si="5">MAX(F16:F22)</f>
        <v>3.4423529411764706</v>
      </c>
      <c r="G24" s="484">
        <f t="shared" si="5"/>
        <v>5</v>
      </c>
      <c r="H24" s="419">
        <f t="shared" si="5"/>
        <v>15.2</v>
      </c>
      <c r="I24" s="71">
        <f t="shared" si="5"/>
        <v>9.34</v>
      </c>
      <c r="J24" s="484">
        <f t="shared" si="5"/>
        <v>0.79347826086956508</v>
      </c>
    </row>
    <row r="25" spans="2:10" ht="17">
      <c r="B25" s="12"/>
      <c r="D25" s="373" t="s">
        <v>46</v>
      </c>
      <c r="E25" s="420">
        <f>MIN(E16:E22)</f>
        <v>8.5</v>
      </c>
      <c r="F25" s="378">
        <f t="shared" ref="F25:J25" si="6">MIN(F16:F22)</f>
        <v>0.2</v>
      </c>
      <c r="G25" s="485">
        <f t="shared" si="6"/>
        <v>0.29049897470950103</v>
      </c>
      <c r="H25" s="420">
        <f t="shared" si="6"/>
        <v>2</v>
      </c>
      <c r="I25" s="378">
        <f t="shared" si="6"/>
        <v>1.2602739726027399</v>
      </c>
      <c r="J25" s="485">
        <f t="shared" si="6"/>
        <v>0.10706638115631692</v>
      </c>
    </row>
    <row r="26" spans="2:10" ht="17">
      <c r="B26" s="12"/>
      <c r="D26" s="14" t="s">
        <v>18</v>
      </c>
      <c r="E26" s="421" t="s">
        <v>0</v>
      </c>
      <c r="F26" s="21">
        <f>MEDIAN(F16:F22)</f>
        <v>1.4708661417322835</v>
      </c>
      <c r="G26" s="56">
        <f>MEDIAN(G16:G22)</f>
        <v>0.67987152034261245</v>
      </c>
      <c r="H26" s="421" t="s">
        <v>0</v>
      </c>
      <c r="I26" s="18">
        <f>MEDIAN(I16:I22)</f>
        <v>2.7713207547169811</v>
      </c>
      <c r="J26" s="56">
        <f>MEDIAN(J16:J22)</f>
        <v>0.36083877995642699</v>
      </c>
    </row>
    <row r="27" spans="2:10" ht="17">
      <c r="B27" s="12"/>
      <c r="D27" s="14" t="s">
        <v>440</v>
      </c>
      <c r="E27" s="422" t="s">
        <v>0</v>
      </c>
      <c r="F27" s="19">
        <f>AVERAGE(F16:F22)</f>
        <v>1.6494726523735099</v>
      </c>
      <c r="G27" s="344">
        <f>AVERAGE(G16:G22)</f>
        <v>1.3822668107969263</v>
      </c>
      <c r="H27" s="422" t="s">
        <v>0</v>
      </c>
      <c r="I27" s="18">
        <f>AVERAGE(I16:I22)</f>
        <v>3.3523951244624719</v>
      </c>
      <c r="J27" s="344">
        <f>AVERAGE(J16:J22)</f>
        <v>0.45505134338798875</v>
      </c>
    </row>
    <row r="28" spans="2:10" ht="17">
      <c r="B28" s="12"/>
      <c r="C28" s="12"/>
      <c r="D28" s="12"/>
      <c r="E28" s="12"/>
      <c r="F28" s="12"/>
      <c r="G28" s="12"/>
      <c r="H28" s="12"/>
      <c r="I28" s="12"/>
    </row>
    <row r="29" spans="2:10" ht="17">
      <c r="B29" s="12"/>
      <c r="C29" s="12"/>
      <c r="D29" s="12"/>
      <c r="E29" s="12"/>
      <c r="F29" s="12"/>
      <c r="G29" s="12"/>
      <c r="H29" s="12"/>
      <c r="I29" s="12"/>
    </row>
    <row r="30" spans="2:10" ht="17.5" thickBot="1">
      <c r="B30" s="12"/>
      <c r="C30" s="12"/>
      <c r="D30" s="12"/>
      <c r="E30" s="12"/>
      <c r="F30" s="12"/>
      <c r="G30" s="12"/>
      <c r="I30" s="12"/>
    </row>
    <row r="31" spans="2:10" ht="26" thickBot="1">
      <c r="B31" s="76" t="s">
        <v>0</v>
      </c>
      <c r="C31" s="12"/>
      <c r="D31" s="23" t="s">
        <v>125</v>
      </c>
      <c r="E31" s="23"/>
      <c r="F31" s="254">
        <v>1.65</v>
      </c>
      <c r="G31" s="423"/>
      <c r="I31" s="254">
        <v>3.35</v>
      </c>
    </row>
    <row r="32" spans="2:10" ht="17">
      <c r="B32" s="76" t="s">
        <v>0</v>
      </c>
      <c r="C32" s="12"/>
      <c r="D32" s="12"/>
      <c r="E32" s="12"/>
      <c r="F32" s="12"/>
      <c r="G32" s="12"/>
      <c r="I32" s="12"/>
    </row>
    <row r="33" spans="1:15" ht="17">
      <c r="B33" s="76"/>
      <c r="C33" s="12"/>
      <c r="D33" s="12"/>
      <c r="E33" s="12"/>
      <c r="F33" s="12"/>
      <c r="G33" s="12"/>
      <c r="I33" s="12"/>
    </row>
    <row r="34" spans="1:15" ht="17.5">
      <c r="A34" s="108" t="s">
        <v>419</v>
      </c>
      <c r="B34" s="76"/>
      <c r="C34" s="12"/>
      <c r="D34" s="12"/>
      <c r="E34" s="12"/>
      <c r="F34" s="12"/>
      <c r="G34" s="12"/>
      <c r="I34" s="12"/>
    </row>
    <row r="35" spans="1:15" ht="17.5">
      <c r="A35" s="108" t="s">
        <v>362</v>
      </c>
      <c r="B35" s="76"/>
      <c r="C35" s="12"/>
      <c r="D35" s="12"/>
      <c r="E35" s="12"/>
      <c r="F35" s="12"/>
      <c r="G35" s="12"/>
      <c r="H35" s="12"/>
      <c r="I35" s="12"/>
    </row>
    <row r="36" spans="1:15" ht="17">
      <c r="B36" s="76"/>
      <c r="C36" s="12"/>
      <c r="D36" s="12"/>
      <c r="E36" s="12"/>
      <c r="F36" s="12"/>
      <c r="G36" s="12"/>
      <c r="H36" s="12"/>
      <c r="I36" s="12"/>
    </row>
    <row r="37" spans="1:15" ht="17.5">
      <c r="A37" s="108" t="s">
        <v>420</v>
      </c>
      <c r="B37" s="76"/>
      <c r="C37" s="12"/>
      <c r="D37" s="12"/>
      <c r="E37" s="12"/>
      <c r="F37" s="12"/>
      <c r="G37" s="12"/>
      <c r="H37" s="12"/>
      <c r="I37" s="12"/>
    </row>
    <row r="38" spans="1:15" ht="17.5">
      <c r="A38" s="108" t="s">
        <v>360</v>
      </c>
      <c r="B38" s="76"/>
      <c r="C38" s="12"/>
      <c r="D38" s="12"/>
      <c r="E38" s="12"/>
      <c r="F38" s="12"/>
      <c r="G38" s="12"/>
      <c r="H38" s="12"/>
      <c r="I38" s="12"/>
    </row>
    <row r="39" spans="1:15" ht="17.5">
      <c r="A39" s="108" t="s">
        <v>361</v>
      </c>
      <c r="B39" s="76"/>
      <c r="C39" s="12"/>
      <c r="D39" s="12"/>
      <c r="E39" s="12"/>
      <c r="F39" s="12"/>
      <c r="G39" s="12"/>
      <c r="H39" s="12"/>
      <c r="I39" s="12"/>
    </row>
    <row r="40" spans="1:15" ht="17">
      <c r="B40" s="12"/>
      <c r="C40" s="12"/>
      <c r="D40" s="12"/>
      <c r="E40" s="12"/>
      <c r="F40" s="12"/>
      <c r="G40" s="12"/>
      <c r="H40" s="12"/>
      <c r="I40" s="12"/>
      <c r="J40" s="12"/>
      <c r="K40" s="12"/>
      <c r="L40" s="12"/>
      <c r="M40" s="12"/>
      <c r="N40" s="12"/>
      <c r="O40" s="12"/>
    </row>
    <row r="41" spans="1:15" ht="17">
      <c r="B41" s="12"/>
      <c r="C41" s="12"/>
      <c r="D41" s="12"/>
      <c r="E41" s="12"/>
      <c r="F41" s="12"/>
      <c r="G41" s="12"/>
      <c r="H41" s="12"/>
      <c r="I41" s="12"/>
      <c r="J41" s="12"/>
      <c r="K41" s="12"/>
      <c r="L41" s="12"/>
      <c r="M41" s="12"/>
      <c r="N41" s="12"/>
      <c r="O41" s="12"/>
    </row>
    <row r="42" spans="1:15" ht="17">
      <c r="B42" s="76"/>
      <c r="C42" s="12"/>
      <c r="D42" s="12"/>
      <c r="E42" s="12"/>
      <c r="F42" s="12"/>
      <c r="G42" s="12"/>
      <c r="H42" s="12"/>
      <c r="I42" s="12"/>
    </row>
    <row r="46" spans="1:15" ht="17.5">
      <c r="A46" s="108"/>
      <c r="B46" s="297"/>
      <c r="C46" s="296" t="s">
        <v>0</v>
      </c>
    </row>
    <row r="47" spans="1:15" ht="17.5">
      <c r="C47" s="296" t="s">
        <v>0</v>
      </c>
    </row>
    <row r="48" spans="1:15" ht="17.5">
      <c r="C48" s="296" t="s">
        <v>0</v>
      </c>
    </row>
  </sheetData>
  <pageMargins left="0.25" right="0.25" top="0.75" bottom="0.75" header="0.3" footer="0.3"/>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topLeftCell="A10" zoomScale="80" zoomScaleNormal="80" zoomScaleSheetLayoutView="80" workbookViewId="0">
      <selection activeCell="G30" sqref="G30"/>
    </sheetView>
  </sheetViews>
  <sheetFormatPr defaultRowHeight="14.5"/>
  <cols>
    <col min="1" max="1" width="22.26953125" customWidth="1"/>
    <col min="2" max="2" width="39.7265625" customWidth="1"/>
    <col min="3" max="3" width="16.81640625" customWidth="1"/>
    <col min="4" max="4" width="35.26953125" customWidth="1"/>
    <col min="5" max="5" width="18" customWidth="1"/>
    <col min="6" max="6" width="20.81640625" bestFit="1" customWidth="1"/>
    <col min="7" max="7" width="22" customWidth="1"/>
    <col min="8" max="8" width="23.7265625" customWidth="1"/>
  </cols>
  <sheetData>
    <row r="1" spans="1:11" ht="25.5">
      <c r="A1" s="23" t="s">
        <v>1</v>
      </c>
      <c r="C1" s="12"/>
      <c r="D1" s="12"/>
      <c r="E1" s="12"/>
      <c r="F1" s="12"/>
      <c r="G1" s="12"/>
      <c r="H1" s="12"/>
      <c r="I1" s="12"/>
      <c r="J1" s="12"/>
      <c r="K1" s="12"/>
    </row>
    <row r="2" spans="1:11" ht="17.5">
      <c r="A2" s="24" t="s">
        <v>9</v>
      </c>
      <c r="C2" s="12"/>
      <c r="D2" s="12"/>
      <c r="E2" s="12"/>
      <c r="F2" s="12"/>
      <c r="G2" s="12"/>
      <c r="H2" s="12"/>
      <c r="I2" s="12"/>
      <c r="J2" s="12"/>
      <c r="K2" s="12"/>
    </row>
    <row r="3" spans="1:11" ht="17.25" customHeight="1">
      <c r="A3" s="25" t="s">
        <v>480</v>
      </c>
      <c r="C3" s="12"/>
      <c r="D3" s="12"/>
      <c r="E3" s="12"/>
      <c r="F3" s="12"/>
      <c r="G3" s="12"/>
      <c r="H3" s="12"/>
      <c r="I3" s="12"/>
      <c r="J3" s="12"/>
      <c r="K3" s="12"/>
    </row>
    <row r="4" spans="1:11" ht="17.25" customHeight="1">
      <c r="B4" s="25"/>
      <c r="C4" s="12"/>
      <c r="D4" s="12"/>
      <c r="E4" s="12"/>
      <c r="F4" s="12"/>
      <c r="G4" s="12"/>
      <c r="H4" s="12"/>
      <c r="I4" s="12"/>
      <c r="J4" s="12"/>
      <c r="K4" s="12"/>
    </row>
    <row r="5" spans="1:11" ht="17.25" customHeight="1">
      <c r="B5" s="154"/>
      <c r="C5" s="12"/>
      <c r="D5" s="12"/>
      <c r="E5" s="12"/>
      <c r="F5" s="12"/>
      <c r="G5" s="12"/>
      <c r="H5" s="12"/>
      <c r="I5" s="12"/>
      <c r="J5" s="12"/>
      <c r="K5" s="12"/>
    </row>
    <row r="6" spans="1:11" ht="17.25" customHeight="1">
      <c r="B6" s="154"/>
      <c r="C6" s="12"/>
      <c r="D6" s="12"/>
      <c r="E6" s="12"/>
      <c r="F6" s="12"/>
      <c r="G6" s="12"/>
      <c r="H6" s="12"/>
      <c r="I6" s="12"/>
      <c r="J6" s="12"/>
      <c r="K6" s="12"/>
    </row>
    <row r="7" spans="1:11" ht="17.25" customHeight="1">
      <c r="B7" s="154"/>
      <c r="C7" s="12"/>
      <c r="D7" s="12"/>
      <c r="E7" s="12"/>
      <c r="F7" s="12"/>
      <c r="G7" s="12"/>
      <c r="H7" s="12"/>
      <c r="I7" s="12"/>
      <c r="J7" s="12"/>
      <c r="K7" s="12"/>
    </row>
    <row r="8" spans="1:11" ht="17">
      <c r="B8" s="25"/>
      <c r="C8" s="12"/>
      <c r="D8" s="12"/>
      <c r="E8" s="12"/>
      <c r="F8" s="12"/>
      <c r="G8" s="12"/>
      <c r="H8" s="12"/>
      <c r="I8" s="12"/>
      <c r="J8" s="12"/>
      <c r="K8" s="12"/>
    </row>
    <row r="9" spans="1:11" ht="21">
      <c r="B9" s="12"/>
      <c r="C9" s="12"/>
      <c r="D9" s="79" t="s">
        <v>0</v>
      </c>
      <c r="E9" s="12"/>
      <c r="F9" s="12"/>
      <c r="G9" s="12"/>
      <c r="H9" s="12"/>
      <c r="I9" s="12"/>
      <c r="J9" s="12"/>
      <c r="K9" s="12"/>
    </row>
    <row r="10" spans="1:11" ht="21">
      <c r="B10" s="12"/>
      <c r="C10" s="12"/>
      <c r="D10" s="79" t="s">
        <v>64</v>
      </c>
      <c r="E10" s="12"/>
      <c r="F10" s="12"/>
      <c r="G10" s="12"/>
      <c r="H10" s="12"/>
      <c r="I10" s="12"/>
      <c r="J10" s="12"/>
      <c r="K10" s="12"/>
    </row>
    <row r="11" spans="1:11" ht="17">
      <c r="B11" s="12"/>
      <c r="C11" s="12"/>
      <c r="D11" s="12"/>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26"/>
      <c r="F13" s="12"/>
      <c r="G13" s="12"/>
      <c r="H13" s="12"/>
      <c r="I13" s="12"/>
      <c r="J13" s="12"/>
      <c r="K13" s="12"/>
    </row>
    <row r="14" spans="1:11" ht="17">
      <c r="B14" s="12"/>
      <c r="C14" s="12"/>
      <c r="D14" s="12"/>
      <c r="E14" s="12"/>
      <c r="F14" s="12"/>
      <c r="G14" s="12"/>
      <c r="H14" s="12"/>
      <c r="I14" s="12"/>
      <c r="J14" s="12"/>
      <c r="K14" s="12"/>
    </row>
    <row r="15" spans="1:11" ht="17.5" thickBot="1">
      <c r="B15" s="12"/>
      <c r="C15" s="28"/>
      <c r="D15" s="28"/>
      <c r="E15" s="28"/>
      <c r="F15" s="12"/>
      <c r="G15" s="12"/>
      <c r="H15" s="12"/>
      <c r="I15" s="12"/>
      <c r="J15" s="12"/>
      <c r="K15" s="12"/>
    </row>
    <row r="16" spans="1:11" ht="25.5">
      <c r="B16" s="12"/>
      <c r="C16" s="12"/>
      <c r="D16" s="31" t="str">
        <f>+'S&amp;D'!A12</f>
        <v>Liquid Transportation Pipeline Carriers</v>
      </c>
      <c r="E16" s="12"/>
      <c r="F16" s="12"/>
      <c r="G16" s="12"/>
      <c r="H16" s="12"/>
      <c r="I16" s="12"/>
      <c r="J16" s="12"/>
      <c r="K16" s="12"/>
    </row>
    <row r="17" spans="2:11" ht="17.5" thickBot="1">
      <c r="B17" s="12"/>
      <c r="C17" s="28"/>
      <c r="D17" s="36" t="s">
        <v>0</v>
      </c>
      <c r="E17" s="28"/>
      <c r="F17" s="12"/>
      <c r="G17" s="12"/>
      <c r="H17" s="12"/>
      <c r="I17" s="12"/>
      <c r="J17" s="12"/>
      <c r="K17" s="12"/>
    </row>
    <row r="18" spans="2:11" ht="17.5" thickBot="1">
      <c r="B18" s="28"/>
      <c r="C18" s="28"/>
      <c r="D18" s="36" t="s">
        <v>0</v>
      </c>
      <c r="E18" s="28"/>
      <c r="F18" s="28"/>
      <c r="G18" s="28"/>
      <c r="H18" s="12"/>
      <c r="I18" s="12"/>
      <c r="J18" s="12"/>
      <c r="K18" s="12"/>
    </row>
    <row r="19" spans="2:11" ht="17">
      <c r="B19" s="34" t="s">
        <v>31</v>
      </c>
      <c r="C19" s="34" t="s">
        <v>32</v>
      </c>
      <c r="D19" s="34" t="s">
        <v>33</v>
      </c>
      <c r="E19" s="34" t="s">
        <v>68</v>
      </c>
      <c r="F19" s="34" t="s">
        <v>33</v>
      </c>
      <c r="G19" s="34" t="s">
        <v>34</v>
      </c>
      <c r="H19" s="12"/>
      <c r="I19" s="12"/>
      <c r="J19" s="12"/>
      <c r="K19" s="12"/>
    </row>
    <row r="20" spans="2:11" ht="17.5" thickBot="1">
      <c r="B20" s="36" t="s">
        <v>32</v>
      </c>
      <c r="C20" s="36" t="s">
        <v>35</v>
      </c>
      <c r="D20" s="36" t="s">
        <v>36</v>
      </c>
      <c r="E20" s="36" t="s">
        <v>23</v>
      </c>
      <c r="F20" s="36" t="s">
        <v>37</v>
      </c>
      <c r="G20" s="36" t="s">
        <v>38</v>
      </c>
      <c r="H20" s="12"/>
      <c r="I20" s="12"/>
      <c r="J20" s="12"/>
      <c r="K20" s="12"/>
    </row>
    <row r="21" spans="2:11" ht="17">
      <c r="B21" s="38" t="s">
        <v>0</v>
      </c>
      <c r="C21" s="38" t="s">
        <v>0</v>
      </c>
      <c r="D21" s="38" t="s">
        <v>0</v>
      </c>
      <c r="E21" s="38" t="s">
        <v>0</v>
      </c>
      <c r="F21" s="38" t="s">
        <v>0</v>
      </c>
      <c r="G21" s="38" t="s">
        <v>0</v>
      </c>
      <c r="H21" s="12"/>
      <c r="I21" s="12"/>
      <c r="J21" s="12"/>
      <c r="K21" s="12"/>
    </row>
    <row r="22" spans="2:11" ht="17">
      <c r="B22" s="34"/>
      <c r="C22" s="34"/>
      <c r="D22" s="34"/>
      <c r="E22" s="34"/>
      <c r="F22" s="34"/>
      <c r="G22" s="34"/>
      <c r="H22" s="12"/>
      <c r="I22" s="12"/>
      <c r="J22" s="12"/>
      <c r="K22" s="12"/>
    </row>
    <row r="23" spans="2:11" ht="17.5">
      <c r="B23" s="91" t="s">
        <v>39</v>
      </c>
      <c r="C23" s="146">
        <f>'S&amp;D'!I51</f>
        <v>0.52</v>
      </c>
      <c r="D23" s="146">
        <f>+'Indicated Yield Equity Rate'!D51</f>
        <v>0.10680000000000001</v>
      </c>
      <c r="E23" s="105" t="s">
        <v>40</v>
      </c>
      <c r="F23" s="146">
        <f>+D23</f>
        <v>0.10680000000000001</v>
      </c>
      <c r="G23" s="147">
        <f>+F23*C23</f>
        <v>5.5536000000000002E-2</v>
      </c>
      <c r="H23" s="12"/>
      <c r="I23" s="12"/>
      <c r="J23" s="12"/>
      <c r="K23" s="12"/>
    </row>
    <row r="24" spans="2:11" ht="17.5">
      <c r="B24" s="91" t="s">
        <v>0</v>
      </c>
      <c r="C24" s="105" t="s">
        <v>0</v>
      </c>
      <c r="D24" s="105" t="s">
        <v>0</v>
      </c>
      <c r="E24" s="105" t="s">
        <v>0</v>
      </c>
      <c r="F24" s="148" t="s">
        <v>0</v>
      </c>
      <c r="G24" s="130" t="s">
        <v>0</v>
      </c>
      <c r="H24" s="12"/>
      <c r="I24" s="12"/>
      <c r="J24" s="12"/>
      <c r="K24" s="12"/>
    </row>
    <row r="25" spans="2:11" ht="17.5">
      <c r="B25" s="91" t="s">
        <v>41</v>
      </c>
      <c r="C25" s="146">
        <f>'S&amp;D'!J51</f>
        <v>0.48</v>
      </c>
      <c r="D25" s="146">
        <f>+'Yield Debt'!J29</f>
        <v>6.0299999999999999E-2</v>
      </c>
      <c r="E25" s="146">
        <v>0.26</v>
      </c>
      <c r="F25" s="146">
        <f>+D25*(1-E25)</f>
        <v>4.4622000000000002E-2</v>
      </c>
      <c r="G25" s="147">
        <f>+C25*F25</f>
        <v>2.141856E-2</v>
      </c>
      <c r="H25" s="12"/>
      <c r="I25" s="12"/>
      <c r="J25" s="12"/>
      <c r="K25" s="12"/>
    </row>
    <row r="26" spans="2:11" ht="18" thickBot="1">
      <c r="B26" s="98" t="s">
        <v>0</v>
      </c>
      <c r="C26" s="98" t="s">
        <v>0</v>
      </c>
      <c r="D26" s="98" t="s">
        <v>0</v>
      </c>
      <c r="E26" s="98" t="s">
        <v>0</v>
      </c>
      <c r="F26" s="149" t="s">
        <v>0</v>
      </c>
      <c r="G26" s="150" t="s">
        <v>0</v>
      </c>
      <c r="H26" s="12"/>
      <c r="I26" s="12"/>
      <c r="J26" s="12"/>
      <c r="K26" s="12"/>
    </row>
    <row r="27" spans="2:11" ht="17.5">
      <c r="B27" s="91" t="s">
        <v>71</v>
      </c>
      <c r="C27" s="151">
        <f>+C23+C25</f>
        <v>1</v>
      </c>
      <c r="D27" s="91" t="s">
        <v>0</v>
      </c>
      <c r="E27" s="91" t="s">
        <v>0</v>
      </c>
      <c r="F27" s="152" t="s">
        <v>0</v>
      </c>
      <c r="G27" s="147">
        <f>+G23+G25</f>
        <v>7.6954560000000005E-2</v>
      </c>
      <c r="H27" s="12"/>
      <c r="I27" s="12"/>
      <c r="J27" s="12"/>
      <c r="K27" s="12"/>
    </row>
    <row r="28" spans="2:11" ht="18" thickBot="1">
      <c r="B28" s="62"/>
      <c r="C28" s="62"/>
      <c r="D28" s="62"/>
      <c r="E28" s="62"/>
      <c r="F28" s="62"/>
      <c r="G28" s="153"/>
      <c r="H28" s="12"/>
      <c r="I28" s="12"/>
      <c r="J28" s="12"/>
      <c r="K28" s="12"/>
    </row>
    <row r="29" spans="2:11" ht="18" thickBot="1">
      <c r="B29" s="12"/>
      <c r="C29" s="12"/>
      <c r="D29" s="12"/>
      <c r="E29" s="12"/>
      <c r="F29" s="217" t="s">
        <v>74</v>
      </c>
      <c r="G29" s="331">
        <v>7.6999999999999999E-2</v>
      </c>
      <c r="H29" s="12"/>
      <c r="I29" s="12"/>
      <c r="J29" s="12"/>
      <c r="K29" s="12"/>
    </row>
    <row r="30" spans="2:11" ht="17">
      <c r="B30" s="12"/>
      <c r="C30" s="12"/>
      <c r="D30" s="12"/>
      <c r="E30" s="12"/>
      <c r="F30" s="12"/>
      <c r="G30" s="12"/>
      <c r="H30" s="12"/>
      <c r="I30" s="12"/>
      <c r="J30" s="12"/>
      <c r="K30" s="12"/>
    </row>
    <row r="31" spans="2:11" ht="17">
      <c r="B31" s="12"/>
      <c r="C31" s="12"/>
      <c r="D31" s="12"/>
      <c r="E31" s="12"/>
      <c r="F31" s="12"/>
      <c r="G31" s="12"/>
      <c r="H31" s="12"/>
      <c r="I31" s="12"/>
      <c r="J31" s="12"/>
      <c r="K31" s="12"/>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B3" sqref="B3"/>
    </sheetView>
  </sheetViews>
  <sheetFormatPr defaultRowHeight="1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zoomScale="80" zoomScaleNormal="80" zoomScaleSheetLayoutView="80" workbookViewId="0">
      <selection activeCell="G63" sqref="G63"/>
    </sheetView>
  </sheetViews>
  <sheetFormatPr defaultRowHeight="14.5"/>
  <cols>
    <col min="1" max="1" width="17.26953125" customWidth="1"/>
    <col min="2" max="2" width="31.7265625" customWidth="1"/>
    <col min="3" max="3" width="16.54296875" customWidth="1"/>
    <col min="4" max="4" width="35.26953125" customWidth="1"/>
    <col min="5" max="5" width="14.81640625" customWidth="1"/>
    <col min="6" max="6" width="25.81640625" customWidth="1"/>
    <col min="7" max="7" width="24.1796875" customWidth="1"/>
    <col min="8" max="8" width="17.7265625" customWidth="1"/>
  </cols>
  <sheetData>
    <row r="1" spans="1:11" ht="25.5">
      <c r="A1" s="23" t="s">
        <v>1</v>
      </c>
      <c r="C1" s="12"/>
      <c r="D1" s="12"/>
      <c r="E1" s="12"/>
      <c r="F1" s="12"/>
      <c r="G1" s="12"/>
      <c r="H1" s="12"/>
      <c r="I1" s="12"/>
      <c r="J1" s="12"/>
      <c r="K1" s="12"/>
    </row>
    <row r="2" spans="1:11" ht="17.5">
      <c r="A2" s="24" t="s">
        <v>9</v>
      </c>
      <c r="C2" s="12"/>
      <c r="D2" s="12"/>
      <c r="E2" s="12"/>
      <c r="F2" s="12"/>
      <c r="G2" s="12"/>
      <c r="H2" s="12"/>
      <c r="I2" s="12"/>
      <c r="J2" s="12"/>
      <c r="K2" s="12"/>
    </row>
    <row r="3" spans="1:11" ht="17">
      <c r="A3" s="25" t="s">
        <v>480</v>
      </c>
      <c r="C3" s="12"/>
      <c r="D3" s="12"/>
      <c r="E3" s="12"/>
      <c r="F3" s="12"/>
      <c r="G3" s="12"/>
      <c r="H3" s="12"/>
      <c r="I3" s="12"/>
      <c r="J3" s="12"/>
      <c r="K3" s="12"/>
    </row>
    <row r="4" spans="1:11" ht="17">
      <c r="B4" s="25"/>
      <c r="C4" s="12"/>
      <c r="D4" s="12"/>
      <c r="E4" s="12"/>
      <c r="F4" s="12"/>
      <c r="G4" s="12"/>
      <c r="H4" s="12"/>
      <c r="I4" s="12"/>
      <c r="J4" s="12"/>
      <c r="K4" s="12"/>
    </row>
    <row r="5" spans="1:11" ht="17">
      <c r="B5" s="25"/>
      <c r="C5" s="12"/>
      <c r="D5" s="12"/>
      <c r="E5" s="12"/>
      <c r="F5" s="12"/>
      <c r="G5" s="12"/>
      <c r="H5" s="12"/>
      <c r="I5" s="12"/>
      <c r="J5" s="12"/>
      <c r="K5" s="12"/>
    </row>
    <row r="6" spans="1:11" ht="17">
      <c r="B6" s="25"/>
      <c r="C6" s="12"/>
      <c r="D6" s="12"/>
      <c r="E6" s="12"/>
      <c r="F6" s="12"/>
      <c r="G6" s="12"/>
      <c r="H6" s="12"/>
      <c r="I6" s="12"/>
      <c r="J6" s="12"/>
      <c r="K6" s="12"/>
    </row>
    <row r="7" spans="1:11" ht="17">
      <c r="B7" s="25"/>
      <c r="C7" s="12"/>
      <c r="D7" s="12"/>
      <c r="E7" s="12"/>
      <c r="F7" s="12"/>
      <c r="G7" s="12"/>
      <c r="H7" s="12"/>
      <c r="I7" s="12"/>
      <c r="J7" s="12"/>
      <c r="K7" s="12"/>
    </row>
    <row r="8" spans="1:11" ht="17">
      <c r="B8" s="25"/>
      <c r="C8" s="12"/>
      <c r="D8" s="12"/>
      <c r="E8" s="12"/>
      <c r="F8" s="12"/>
      <c r="G8" s="12"/>
      <c r="H8" s="12"/>
      <c r="I8" s="12"/>
      <c r="J8" s="12"/>
      <c r="K8" s="12"/>
    </row>
    <row r="9" spans="1:11" ht="17">
      <c r="B9" s="25"/>
      <c r="C9" s="12"/>
      <c r="D9" s="12"/>
      <c r="E9" s="12"/>
      <c r="F9" s="12"/>
      <c r="G9" s="12"/>
      <c r="H9" s="12"/>
      <c r="I9" s="12"/>
      <c r="J9" s="12"/>
      <c r="K9" s="12"/>
    </row>
    <row r="10" spans="1:11" ht="21">
      <c r="B10" s="12"/>
      <c r="C10" s="12"/>
      <c r="D10" s="79" t="s">
        <v>0</v>
      </c>
      <c r="E10" s="12"/>
      <c r="F10" s="12"/>
      <c r="G10" s="12"/>
      <c r="H10" s="12"/>
      <c r="I10" s="12"/>
      <c r="J10" s="12"/>
      <c r="K10" s="12"/>
    </row>
    <row r="11" spans="1:11" ht="21">
      <c r="B11" s="12"/>
      <c r="C11" s="12"/>
      <c r="D11" s="79" t="s">
        <v>63</v>
      </c>
      <c r="E11" s="12"/>
      <c r="F11" s="12"/>
      <c r="G11" s="12"/>
      <c r="H11" s="12"/>
      <c r="I11" s="12"/>
      <c r="J11" s="12"/>
      <c r="K11" s="12"/>
    </row>
    <row r="12" spans="1:11" ht="17">
      <c r="B12" s="12"/>
      <c r="C12" s="12"/>
      <c r="D12" s="12"/>
      <c r="E12" s="12"/>
      <c r="F12" s="12"/>
      <c r="G12" s="12"/>
      <c r="H12" s="12"/>
      <c r="I12" s="12"/>
      <c r="J12" s="12"/>
      <c r="K12" s="12"/>
    </row>
    <row r="13" spans="1:11" ht="17">
      <c r="B13" s="12"/>
      <c r="C13" s="12"/>
      <c r="D13" s="12"/>
      <c r="E13" s="12"/>
      <c r="F13" s="12"/>
      <c r="G13" s="12"/>
      <c r="H13" s="12"/>
      <c r="I13" s="12"/>
      <c r="J13" s="12"/>
      <c r="K13" s="12"/>
    </row>
    <row r="14" spans="1:11" ht="17.5" thickBot="1">
      <c r="B14" s="12"/>
      <c r="C14" s="28"/>
      <c r="D14" s="28"/>
      <c r="E14" s="28"/>
      <c r="F14" s="12"/>
      <c r="G14" s="12"/>
      <c r="H14" s="12"/>
      <c r="I14" s="12"/>
      <c r="J14" s="12"/>
      <c r="K14" s="12"/>
    </row>
    <row r="15" spans="1:11" ht="25.5">
      <c r="B15" s="12"/>
      <c r="C15" s="12"/>
      <c r="D15" s="31" t="str">
        <f>+'S&amp;D'!A12</f>
        <v>Liquid Transportation Pipeline Carriers</v>
      </c>
      <c r="E15" s="12"/>
      <c r="F15" s="12"/>
      <c r="G15" s="12"/>
      <c r="H15" s="12"/>
      <c r="I15" s="12"/>
      <c r="J15" s="12"/>
      <c r="K15" s="12"/>
    </row>
    <row r="16" spans="1:11" ht="21.5" thickBot="1">
      <c r="B16" s="12"/>
      <c r="C16" s="28"/>
      <c r="D16" s="145" t="s">
        <v>70</v>
      </c>
      <c r="E16" s="28"/>
      <c r="F16" s="12"/>
      <c r="G16" s="12"/>
      <c r="H16" s="12"/>
      <c r="I16" s="12"/>
      <c r="J16" s="12"/>
      <c r="K16" s="12"/>
    </row>
    <row r="17" spans="2:11" ht="17">
      <c r="H17" s="12"/>
      <c r="I17" s="12"/>
      <c r="J17" s="12"/>
      <c r="K17" s="12"/>
    </row>
    <row r="18" spans="2:11" ht="17.5" thickBot="1">
      <c r="B18" s="28"/>
      <c r="C18" s="28"/>
      <c r="D18" s="36" t="s">
        <v>0</v>
      </c>
      <c r="E18" s="28"/>
      <c r="F18" s="28"/>
      <c r="G18" s="28"/>
      <c r="H18" s="12"/>
      <c r="I18" s="12"/>
      <c r="J18" s="12"/>
      <c r="K18" s="12"/>
    </row>
    <row r="19" spans="2:11" ht="17">
      <c r="B19" s="34" t="s">
        <v>31</v>
      </c>
      <c r="C19" s="34" t="s">
        <v>32</v>
      </c>
      <c r="D19" s="34" t="s">
        <v>67</v>
      </c>
      <c r="E19" s="34" t="s">
        <v>68</v>
      </c>
      <c r="F19" s="34" t="s">
        <v>66</v>
      </c>
      <c r="G19" s="34" t="s">
        <v>34</v>
      </c>
      <c r="H19" s="12"/>
      <c r="I19" s="12"/>
      <c r="J19" s="12"/>
      <c r="K19" s="12"/>
    </row>
    <row r="20" spans="2:11" ht="17.5" thickBot="1">
      <c r="B20" s="36" t="s">
        <v>32</v>
      </c>
      <c r="C20" s="36" t="s">
        <v>35</v>
      </c>
      <c r="D20" s="36" t="s">
        <v>36</v>
      </c>
      <c r="E20" s="36" t="s">
        <v>23</v>
      </c>
      <c r="F20" s="36" t="s">
        <v>37</v>
      </c>
      <c r="G20" s="36" t="s">
        <v>69</v>
      </c>
      <c r="H20" s="12"/>
      <c r="I20" s="12"/>
      <c r="J20" s="12"/>
      <c r="K20" s="12"/>
    </row>
    <row r="21" spans="2:11" ht="17">
      <c r="B21" s="38" t="s">
        <v>0</v>
      </c>
      <c r="C21" s="38" t="s">
        <v>0</v>
      </c>
      <c r="D21" s="38" t="s">
        <v>0</v>
      </c>
      <c r="E21" s="38" t="s">
        <v>0</v>
      </c>
      <c r="F21" s="38" t="s">
        <v>0</v>
      </c>
      <c r="G21" s="38" t="s">
        <v>0</v>
      </c>
      <c r="H21" s="12"/>
      <c r="I21" s="12"/>
      <c r="J21" s="12"/>
      <c r="K21" s="12"/>
    </row>
    <row r="22" spans="2:11" ht="17">
      <c r="B22" s="34"/>
      <c r="C22" s="34"/>
      <c r="D22" s="34"/>
      <c r="E22" s="34"/>
      <c r="F22" s="34"/>
      <c r="G22" s="34"/>
      <c r="H22" s="12"/>
      <c r="I22" s="12"/>
      <c r="J22" s="12"/>
      <c r="K22" s="12"/>
    </row>
    <row r="23" spans="2:11" ht="17.5">
      <c r="B23" s="91" t="s">
        <v>39</v>
      </c>
      <c r="C23" s="146">
        <f>'S&amp;D'!I51</f>
        <v>0.52</v>
      </c>
      <c r="D23" s="146">
        <f>+'Direct NOPAT'!J33</f>
        <v>9.7000000000000003E-2</v>
      </c>
      <c r="E23" s="105" t="s">
        <v>40</v>
      </c>
      <c r="F23" s="146">
        <f>+D23</f>
        <v>9.7000000000000003E-2</v>
      </c>
      <c r="G23" s="147">
        <f>+F23*C23</f>
        <v>5.0440000000000006E-2</v>
      </c>
      <c r="H23" s="12"/>
      <c r="I23" s="12"/>
      <c r="J23" s="12"/>
      <c r="K23" s="12"/>
    </row>
    <row r="24" spans="2:11" ht="17.5">
      <c r="B24" s="91" t="s">
        <v>0</v>
      </c>
      <c r="C24" s="105" t="s">
        <v>0</v>
      </c>
      <c r="D24" s="105" t="s">
        <v>0</v>
      </c>
      <c r="E24" s="105" t="s">
        <v>0</v>
      </c>
      <c r="F24" s="148" t="s">
        <v>0</v>
      </c>
      <c r="G24" s="130" t="s">
        <v>0</v>
      </c>
      <c r="H24" s="12"/>
      <c r="I24" s="12"/>
      <c r="J24" s="12"/>
      <c r="K24" s="12"/>
    </row>
    <row r="25" spans="2:11" ht="17.5">
      <c r="B25" s="91" t="s">
        <v>41</v>
      </c>
      <c r="C25" s="146">
        <f>'S&amp;D'!J51</f>
        <v>0.48</v>
      </c>
      <c r="D25" s="146">
        <f>+'Direct Debt'!I32</f>
        <v>5.5199999999999999E-2</v>
      </c>
      <c r="E25" s="146">
        <v>0.26</v>
      </c>
      <c r="F25" s="146">
        <f>+D25*(1-E25)</f>
        <v>4.0847999999999995E-2</v>
      </c>
      <c r="G25" s="147">
        <f>+C25*F25</f>
        <v>1.9607039999999996E-2</v>
      </c>
      <c r="H25" s="12"/>
      <c r="I25" s="12"/>
      <c r="J25" s="12"/>
      <c r="K25" s="12"/>
    </row>
    <row r="26" spans="2:11" ht="18" thickBot="1">
      <c r="B26" s="98" t="s">
        <v>0</v>
      </c>
      <c r="C26" s="98" t="s">
        <v>0</v>
      </c>
      <c r="D26" s="98" t="s">
        <v>0</v>
      </c>
      <c r="E26" s="98" t="s">
        <v>0</v>
      </c>
      <c r="F26" s="149" t="s">
        <v>0</v>
      </c>
      <c r="G26" s="150" t="s">
        <v>0</v>
      </c>
      <c r="H26" s="12"/>
      <c r="I26" s="12"/>
      <c r="J26" s="12"/>
      <c r="K26" s="12"/>
    </row>
    <row r="27" spans="2:11" ht="17.5">
      <c r="B27" s="91" t="s">
        <v>42</v>
      </c>
      <c r="C27" s="151">
        <f>+C23+C25</f>
        <v>1</v>
      </c>
      <c r="D27" s="91" t="s">
        <v>0</v>
      </c>
      <c r="E27" s="91" t="s">
        <v>0</v>
      </c>
      <c r="F27" s="152" t="s">
        <v>0</v>
      </c>
      <c r="G27" s="147">
        <f>+G23+G25</f>
        <v>7.0047040000000005E-2</v>
      </c>
      <c r="H27" s="12"/>
      <c r="I27" s="12"/>
      <c r="J27" s="12"/>
      <c r="K27" s="12"/>
    </row>
    <row r="28" spans="2:11" ht="18" thickBot="1">
      <c r="B28" s="62"/>
      <c r="C28" s="62"/>
      <c r="D28" s="62"/>
      <c r="E28" s="62"/>
      <c r="F28" s="62"/>
      <c r="G28" s="153"/>
      <c r="H28" s="12"/>
      <c r="I28" s="12"/>
      <c r="J28" s="12"/>
      <c r="K28" s="12"/>
    </row>
    <row r="29" spans="2:11" ht="18" thickBot="1">
      <c r="B29" s="12"/>
      <c r="C29" s="12"/>
      <c r="D29" s="12"/>
      <c r="E29" s="12"/>
      <c r="F29" s="217" t="s">
        <v>74</v>
      </c>
      <c r="G29" s="331">
        <v>7.0000000000000007E-2</v>
      </c>
      <c r="H29" s="12"/>
      <c r="I29" s="12"/>
      <c r="J29" s="12"/>
      <c r="K29" s="12"/>
    </row>
    <row r="30" spans="2:11" ht="18" thickBot="1">
      <c r="B30" s="12"/>
      <c r="C30" s="12"/>
      <c r="D30" s="12"/>
      <c r="E30" s="12"/>
      <c r="F30" s="152"/>
      <c r="G30" s="147"/>
      <c r="H30" s="12"/>
      <c r="I30" s="12"/>
      <c r="J30" s="12"/>
      <c r="K30" s="12"/>
    </row>
    <row r="31" spans="2:11" ht="18" thickBot="1">
      <c r="B31" s="12"/>
      <c r="C31" s="12"/>
      <c r="D31" s="12"/>
      <c r="E31" s="12"/>
      <c r="F31" s="217" t="s">
        <v>234</v>
      </c>
      <c r="G31" s="255">
        <f>1/G29</f>
        <v>14.285714285714285</v>
      </c>
      <c r="H31" s="12"/>
      <c r="I31" s="12"/>
      <c r="J31" s="12"/>
      <c r="K31" s="12"/>
    </row>
    <row r="32" spans="2:11" ht="17.5">
      <c r="B32" s="12"/>
      <c r="C32" s="12"/>
      <c r="D32" s="12"/>
      <c r="E32" s="12"/>
      <c r="F32" s="152"/>
      <c r="G32" s="147"/>
      <c r="H32" s="12"/>
      <c r="I32" s="12"/>
      <c r="J32" s="12"/>
      <c r="K32" s="12"/>
    </row>
    <row r="33" spans="1:11" ht="17.5">
      <c r="B33" s="12"/>
      <c r="C33" s="12"/>
      <c r="D33" s="12"/>
      <c r="E33" s="12"/>
      <c r="F33" s="152"/>
      <c r="G33" s="147"/>
      <c r="H33" s="12"/>
      <c r="I33" s="12"/>
      <c r="J33" s="12"/>
      <c r="K33" s="12"/>
    </row>
    <row r="34" spans="1:11" ht="25.5">
      <c r="A34" s="23" t="s">
        <v>1</v>
      </c>
      <c r="C34" s="12"/>
      <c r="D34" s="12"/>
      <c r="E34" s="12"/>
      <c r="F34" s="152"/>
      <c r="G34" s="147"/>
      <c r="H34" s="12"/>
      <c r="I34" s="12"/>
      <c r="J34" s="12"/>
      <c r="K34" s="12"/>
    </row>
    <row r="35" spans="1:11" ht="17.5">
      <c r="A35" s="24" t="s">
        <v>9</v>
      </c>
      <c r="C35" s="12"/>
      <c r="D35" s="12"/>
      <c r="E35" s="12"/>
      <c r="F35" s="152"/>
      <c r="G35" s="147"/>
      <c r="H35" s="12"/>
      <c r="I35" s="12"/>
      <c r="J35" s="12"/>
      <c r="K35" s="12"/>
    </row>
    <row r="36" spans="1:11" ht="17.5">
      <c r="A36" s="25" t="s">
        <v>480</v>
      </c>
      <c r="C36" s="12"/>
      <c r="D36" s="12"/>
      <c r="E36" s="12"/>
      <c r="F36" s="152"/>
      <c r="G36" s="147"/>
      <c r="H36" s="12"/>
      <c r="I36" s="12"/>
      <c r="J36" s="12"/>
      <c r="K36" s="12"/>
    </row>
    <row r="37" spans="1:11" ht="17.5">
      <c r="A37" s="25"/>
      <c r="C37" s="12"/>
      <c r="D37" s="12"/>
      <c r="E37" s="12"/>
      <c r="F37" s="152"/>
      <c r="G37" s="147"/>
      <c r="H37" s="12"/>
      <c r="I37" s="12"/>
      <c r="J37" s="12"/>
      <c r="K37" s="12"/>
    </row>
    <row r="38" spans="1:11" ht="17.5">
      <c r="A38" s="25"/>
      <c r="C38" s="12"/>
      <c r="D38" s="12"/>
      <c r="E38" s="12"/>
      <c r="F38" s="152"/>
      <c r="G38" s="147"/>
      <c r="H38" s="12"/>
      <c r="I38" s="12"/>
      <c r="J38" s="12"/>
      <c r="K38" s="12"/>
    </row>
    <row r="39" spans="1:11" ht="17.5">
      <c r="A39" s="25"/>
      <c r="C39" s="12"/>
      <c r="D39" s="12"/>
      <c r="E39" s="12"/>
      <c r="F39" s="152"/>
      <c r="G39" s="147"/>
      <c r="H39" s="12"/>
      <c r="I39" s="12"/>
      <c r="J39" s="12"/>
      <c r="K39" s="12"/>
    </row>
    <row r="40" spans="1:11" ht="17.5">
      <c r="A40" s="25"/>
      <c r="C40" s="12"/>
      <c r="D40" s="12"/>
      <c r="E40" s="12"/>
      <c r="F40" s="152"/>
      <c r="G40" s="147"/>
      <c r="H40" s="12"/>
      <c r="I40" s="12"/>
      <c r="J40" s="12"/>
      <c r="K40" s="12"/>
    </row>
    <row r="41" spans="1:11" ht="17.5">
      <c r="A41" s="25"/>
      <c r="C41" s="12"/>
      <c r="D41" s="12"/>
      <c r="E41" s="12"/>
      <c r="F41" s="152"/>
      <c r="G41" s="147"/>
      <c r="H41" s="12"/>
      <c r="I41" s="12"/>
      <c r="J41" s="12"/>
      <c r="K41" s="12"/>
    </row>
    <row r="42" spans="1:11" ht="17.5">
      <c r="A42" s="25"/>
      <c r="C42" s="12"/>
      <c r="D42" s="12"/>
      <c r="E42" s="12"/>
      <c r="F42" s="152"/>
      <c r="G42" s="147"/>
      <c r="H42" s="12"/>
      <c r="I42" s="12"/>
      <c r="J42" s="12"/>
      <c r="K42" s="12"/>
    </row>
    <row r="43" spans="1:11" ht="17.5">
      <c r="A43" s="25"/>
      <c r="C43" s="12"/>
      <c r="D43" s="12"/>
      <c r="E43" s="12"/>
      <c r="F43" s="152"/>
      <c r="G43" s="147"/>
      <c r="H43" s="12"/>
      <c r="I43" s="12"/>
      <c r="J43" s="12"/>
      <c r="K43" s="12"/>
    </row>
    <row r="44" spans="1:11" ht="21">
      <c r="A44" s="25"/>
      <c r="C44" s="12"/>
      <c r="D44" s="79" t="s">
        <v>63</v>
      </c>
      <c r="E44" s="12"/>
      <c r="F44" s="152"/>
      <c r="G44" s="147"/>
      <c r="H44" s="12"/>
      <c r="I44" s="12"/>
      <c r="J44" s="12"/>
      <c r="K44" s="12"/>
    </row>
    <row r="45" spans="1:11" ht="21">
      <c r="A45" s="25"/>
      <c r="C45" s="12"/>
      <c r="D45" s="79"/>
      <c r="E45" s="12"/>
      <c r="F45" s="152"/>
      <c r="G45" s="147"/>
      <c r="H45" s="12"/>
      <c r="I45" s="12"/>
      <c r="J45" s="12"/>
      <c r="K45" s="12"/>
    </row>
    <row r="46" spans="1:11" ht="21">
      <c r="A46" s="25"/>
      <c r="C46" s="12"/>
      <c r="D46" s="79"/>
      <c r="E46" s="12"/>
      <c r="F46" s="152"/>
      <c r="G46" s="147"/>
      <c r="H46" s="12"/>
      <c r="I46" s="12"/>
      <c r="J46" s="12"/>
      <c r="K46" s="12"/>
    </row>
    <row r="47" spans="1:11" ht="17.5" thickBot="1">
      <c r="B47" s="12"/>
      <c r="C47" s="28"/>
      <c r="D47" s="28"/>
      <c r="E47" s="28"/>
      <c r="F47" s="12"/>
      <c r="G47" s="12"/>
      <c r="H47" s="12"/>
      <c r="I47" s="12"/>
      <c r="J47" s="12"/>
      <c r="K47" s="12"/>
    </row>
    <row r="48" spans="1:11" ht="25.5">
      <c r="B48" s="12"/>
      <c r="C48" s="12"/>
      <c r="D48" s="31" t="str">
        <f>+D15</f>
        <v>Liquid Transportation Pipeline Carriers</v>
      </c>
      <c r="E48" s="12"/>
      <c r="F48" s="12"/>
      <c r="G48" s="12"/>
      <c r="H48" s="12"/>
      <c r="I48" s="12"/>
      <c r="J48" s="12"/>
      <c r="K48" s="12"/>
    </row>
    <row r="49" spans="2:11" ht="21.5" thickBot="1">
      <c r="B49" s="12"/>
      <c r="C49" s="28"/>
      <c r="D49" s="145" t="s">
        <v>65</v>
      </c>
      <c r="E49" s="28"/>
      <c r="F49" s="12"/>
      <c r="G49" s="12"/>
      <c r="H49" s="12"/>
      <c r="I49" s="12"/>
      <c r="J49" s="12"/>
      <c r="K49" s="12"/>
    </row>
    <row r="50" spans="2:11" ht="17">
      <c r="B50" s="12"/>
      <c r="C50" s="12"/>
      <c r="D50" s="12"/>
      <c r="E50" s="12"/>
      <c r="F50" s="12"/>
      <c r="G50" s="12"/>
      <c r="H50" s="12"/>
      <c r="I50" s="12"/>
      <c r="J50" s="12"/>
      <c r="K50" s="12"/>
    </row>
    <row r="51" spans="2:11" ht="17.5" thickBot="1">
      <c r="B51" s="28"/>
      <c r="C51" s="28"/>
      <c r="D51" s="36" t="s">
        <v>0</v>
      </c>
      <c r="E51" s="28"/>
      <c r="F51" s="28"/>
      <c r="G51" s="28"/>
      <c r="H51" s="12"/>
      <c r="I51" s="12"/>
      <c r="J51" s="12"/>
      <c r="K51" s="12"/>
    </row>
    <row r="52" spans="2:11" ht="17">
      <c r="B52" s="34" t="s">
        <v>31</v>
      </c>
      <c r="C52" s="34" t="s">
        <v>32</v>
      </c>
      <c r="D52" s="34" t="s">
        <v>67</v>
      </c>
      <c r="E52" s="34" t="s">
        <v>68</v>
      </c>
      <c r="F52" s="34" t="s">
        <v>66</v>
      </c>
      <c r="G52" s="34" t="s">
        <v>34</v>
      </c>
      <c r="H52" s="12"/>
      <c r="I52" s="12"/>
      <c r="J52" s="12"/>
      <c r="K52" s="12"/>
    </row>
    <row r="53" spans="2:11" ht="17.5" thickBot="1">
      <c r="B53" s="36" t="s">
        <v>32</v>
      </c>
      <c r="C53" s="36" t="s">
        <v>35</v>
      </c>
      <c r="D53" s="36" t="s">
        <v>36</v>
      </c>
      <c r="E53" s="36" t="s">
        <v>23</v>
      </c>
      <c r="F53" s="36" t="s">
        <v>37</v>
      </c>
      <c r="G53" s="36" t="s">
        <v>69</v>
      </c>
      <c r="H53" s="12"/>
      <c r="I53" s="12"/>
      <c r="J53" s="12"/>
      <c r="K53" s="12"/>
    </row>
    <row r="54" spans="2:11" ht="17">
      <c r="B54" s="38" t="s">
        <v>0</v>
      </c>
      <c r="C54" s="38" t="s">
        <v>0</v>
      </c>
      <c r="D54" s="38" t="s">
        <v>0</v>
      </c>
      <c r="E54" s="38" t="s">
        <v>0</v>
      </c>
      <c r="F54" s="38" t="s">
        <v>0</v>
      </c>
      <c r="G54" s="38" t="s">
        <v>0</v>
      </c>
      <c r="H54" s="12"/>
      <c r="I54" s="12"/>
      <c r="J54" s="12"/>
      <c r="K54" s="12"/>
    </row>
    <row r="55" spans="2:11" ht="17">
      <c r="B55" s="34"/>
      <c r="C55" s="34"/>
      <c r="D55" s="34"/>
      <c r="E55" s="34"/>
      <c r="F55" s="34"/>
      <c r="G55" s="34"/>
      <c r="H55" s="12"/>
      <c r="I55" s="12"/>
      <c r="J55" s="12"/>
      <c r="K55" s="12"/>
    </row>
    <row r="56" spans="2:11" ht="17.5">
      <c r="B56" s="91" t="s">
        <v>39</v>
      </c>
      <c r="C56" s="146">
        <f>'S&amp;D'!I51</f>
        <v>0.52</v>
      </c>
      <c r="D56" s="146">
        <f>+'Direct GCF'!H32</f>
        <v>0.19375000000000001</v>
      </c>
      <c r="E56" s="105" t="s">
        <v>40</v>
      </c>
      <c r="F56" s="146">
        <f>+D56</f>
        <v>0.19375000000000001</v>
      </c>
      <c r="G56" s="147">
        <f>+F56*C56</f>
        <v>0.10075000000000001</v>
      </c>
      <c r="H56" s="12"/>
      <c r="I56" s="12"/>
      <c r="J56" s="12"/>
      <c r="K56" s="12"/>
    </row>
    <row r="57" spans="2:11" ht="17.5">
      <c r="B57" s="91" t="s">
        <v>0</v>
      </c>
      <c r="C57" s="105" t="s">
        <v>0</v>
      </c>
      <c r="D57" s="105" t="s">
        <v>0</v>
      </c>
      <c r="E57" s="105" t="s">
        <v>0</v>
      </c>
      <c r="F57" s="148" t="s">
        <v>0</v>
      </c>
      <c r="G57" s="130" t="s">
        <v>0</v>
      </c>
      <c r="H57" s="12"/>
      <c r="I57" s="12"/>
      <c r="J57" s="12"/>
      <c r="K57" s="12"/>
    </row>
    <row r="58" spans="2:11" ht="17.5">
      <c r="B58" s="91" t="s">
        <v>41</v>
      </c>
      <c r="C58" s="146">
        <f>'S&amp;D'!J51</f>
        <v>0.48</v>
      </c>
      <c r="D58" s="146">
        <f>+'Direct Debt'!I32</f>
        <v>5.5199999999999999E-2</v>
      </c>
      <c r="E58" s="146">
        <v>0.26</v>
      </c>
      <c r="F58" s="146">
        <f>+D58*(1-E58)</f>
        <v>4.0847999999999995E-2</v>
      </c>
      <c r="G58" s="147">
        <f>+C58*F58</f>
        <v>1.9607039999999996E-2</v>
      </c>
      <c r="H58" s="12"/>
      <c r="I58" s="12"/>
      <c r="J58" s="12"/>
      <c r="K58" s="12"/>
    </row>
    <row r="59" spans="2:11" ht="18" thickBot="1">
      <c r="B59" s="98" t="s">
        <v>0</v>
      </c>
      <c r="C59" s="98" t="s">
        <v>0</v>
      </c>
      <c r="D59" s="98" t="s">
        <v>0</v>
      </c>
      <c r="E59" s="98" t="s">
        <v>0</v>
      </c>
      <c r="F59" s="149" t="s">
        <v>0</v>
      </c>
      <c r="G59" s="150" t="s">
        <v>0</v>
      </c>
      <c r="H59" s="12"/>
      <c r="I59" s="12"/>
      <c r="J59" s="12"/>
      <c r="K59" s="12"/>
    </row>
    <row r="60" spans="2:11" ht="17.5">
      <c r="B60" s="91" t="s">
        <v>42</v>
      </c>
      <c r="C60" s="151">
        <f>+C56+C58</f>
        <v>1</v>
      </c>
      <c r="D60" s="91" t="s">
        <v>0</v>
      </c>
      <c r="E60" s="91" t="s">
        <v>0</v>
      </c>
      <c r="F60" s="152" t="s">
        <v>0</v>
      </c>
      <c r="G60" s="147">
        <f>+G56+G58</f>
        <v>0.12035704</v>
      </c>
      <c r="H60" s="12"/>
      <c r="I60" s="12"/>
      <c r="J60" s="12"/>
      <c r="K60" s="12"/>
    </row>
    <row r="61" spans="2:11" ht="18" thickBot="1">
      <c r="B61" s="62"/>
      <c r="C61" s="62"/>
      <c r="D61" s="62"/>
      <c r="E61" s="62"/>
      <c r="F61" s="62"/>
      <c r="G61" s="153"/>
      <c r="H61" s="12"/>
      <c r="I61" s="12"/>
      <c r="J61" s="12"/>
      <c r="K61" s="12"/>
    </row>
    <row r="62" spans="2:11" ht="18" thickBot="1">
      <c r="B62" s="12"/>
      <c r="C62" s="12"/>
      <c r="D62" s="12"/>
      <c r="E62" s="12"/>
      <c r="F62" s="217" t="s">
        <v>74</v>
      </c>
      <c r="G62" s="331">
        <v>0.12039999999999999</v>
      </c>
      <c r="H62" s="12"/>
      <c r="I62" s="12"/>
      <c r="J62" s="12"/>
      <c r="K62" s="12"/>
    </row>
    <row r="63" spans="2:11" ht="15" thickBot="1"/>
    <row r="64" spans="2:11" ht="18" thickBot="1">
      <c r="F64" s="217" t="s">
        <v>234</v>
      </c>
      <c r="G64" s="255">
        <f>1/G62</f>
        <v>8.3056478405315612</v>
      </c>
    </row>
  </sheetData>
  <pageMargins left="0.25" right="0.25" top="0.75" bottom="0.75" header="0.3" footer="0.3"/>
  <pageSetup scale="73"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90"/>
  <sheetViews>
    <sheetView view="pageBreakPreview" topLeftCell="A26" zoomScale="60" zoomScaleNormal="80" zoomScalePageLayoutView="70" workbookViewId="0">
      <pane xSplit="1" topLeftCell="B1" activePane="topRight" state="frozen"/>
      <selection pane="topRight" activeCell="J41" sqref="J41"/>
    </sheetView>
  </sheetViews>
  <sheetFormatPr defaultRowHeight="14.5"/>
  <cols>
    <col min="1" max="1" width="63" customWidth="1"/>
    <col min="2" max="2" width="11.54296875" bestFit="1" customWidth="1"/>
    <col min="3" max="3" width="20.453125" bestFit="1" customWidth="1"/>
    <col min="4" max="4" width="25.54296875" bestFit="1" customWidth="1"/>
    <col min="5" max="5" width="28" customWidth="1"/>
    <col min="6" max="7" width="29.1796875" customWidth="1"/>
    <col min="8" max="8" width="31.81640625" customWidth="1"/>
    <col min="9" max="9" width="31.54296875" customWidth="1"/>
    <col min="10" max="10" width="30.81640625" customWidth="1"/>
    <col min="11" max="11" width="12.81640625" customWidth="1"/>
    <col min="12" max="12" width="25.81640625" bestFit="1" customWidth="1"/>
    <col min="13" max="13" width="30.1796875" bestFit="1" customWidth="1"/>
    <col min="14" max="14" width="9.1796875" customWidth="1"/>
  </cols>
  <sheetData>
    <row r="1" spans="1:12" ht="25.5">
      <c r="A1" s="23" t="s">
        <v>1</v>
      </c>
      <c r="B1" s="12"/>
      <c r="C1" s="12"/>
      <c r="D1" s="12"/>
      <c r="E1" s="12"/>
      <c r="F1" s="12"/>
      <c r="G1" s="12"/>
      <c r="H1" s="12"/>
      <c r="I1" s="12"/>
      <c r="J1" s="12"/>
      <c r="K1" s="12"/>
    </row>
    <row r="2" spans="1:12" ht="17.5">
      <c r="A2" s="24" t="s">
        <v>9</v>
      </c>
      <c r="B2" s="12"/>
      <c r="C2" s="12"/>
      <c r="D2" s="12"/>
      <c r="E2" s="12"/>
      <c r="F2" s="12"/>
      <c r="G2" s="12"/>
      <c r="H2" s="12"/>
      <c r="I2" s="12"/>
      <c r="J2" s="12"/>
      <c r="K2" s="12"/>
    </row>
    <row r="3" spans="1:12" ht="17">
      <c r="A3" s="25" t="s">
        <v>480</v>
      </c>
      <c r="B3" s="12"/>
      <c r="C3" s="12"/>
      <c r="D3" s="12"/>
      <c r="E3" s="12"/>
      <c r="F3" s="12"/>
      <c r="G3" s="12"/>
      <c r="H3" s="12"/>
      <c r="I3" s="12"/>
      <c r="J3" s="12"/>
      <c r="K3" s="12"/>
    </row>
    <row r="4" spans="1:12" ht="17">
      <c r="A4" s="25"/>
      <c r="B4" s="12"/>
      <c r="C4" s="12"/>
      <c r="D4" s="12"/>
      <c r="E4" s="12"/>
      <c r="F4" s="215" t="s">
        <v>0</v>
      </c>
      <c r="G4" s="12"/>
      <c r="H4" s="12"/>
      <c r="I4" s="12"/>
      <c r="J4" s="12"/>
      <c r="K4" s="12"/>
    </row>
    <row r="5" spans="1:12" ht="17">
      <c r="B5" s="12"/>
      <c r="C5" s="12"/>
      <c r="D5" s="12"/>
      <c r="E5" s="26"/>
      <c r="F5" s="215" t="s">
        <v>0</v>
      </c>
      <c r="G5" s="12"/>
      <c r="H5" s="12"/>
      <c r="I5" s="12"/>
      <c r="J5" s="12"/>
      <c r="K5" s="12" t="s">
        <v>0</v>
      </c>
    </row>
    <row r="6" spans="1:12" ht="17">
      <c r="A6" s="12"/>
      <c r="B6" s="12"/>
      <c r="C6" s="12"/>
      <c r="D6" s="12"/>
      <c r="E6" s="12"/>
      <c r="F6" s="12"/>
      <c r="G6" s="12"/>
      <c r="H6" s="12"/>
      <c r="I6" s="12"/>
      <c r="J6" s="12"/>
      <c r="K6" s="12"/>
    </row>
    <row r="7" spans="1:12" ht="17">
      <c r="A7" s="12"/>
      <c r="B7" s="34"/>
      <c r="C7" s="34"/>
      <c r="D7" s="34"/>
      <c r="E7" s="34"/>
      <c r="F7" s="34"/>
      <c r="G7" s="14"/>
      <c r="H7" s="43"/>
      <c r="I7" s="43"/>
      <c r="J7" s="86"/>
      <c r="K7" s="86"/>
      <c r="L7" s="3"/>
    </row>
    <row r="8" spans="1:12" ht="17">
      <c r="A8" s="87"/>
      <c r="B8" s="34"/>
      <c r="C8" s="34"/>
      <c r="D8" s="34"/>
      <c r="E8" s="34"/>
      <c r="F8" s="34"/>
      <c r="G8" s="14"/>
      <c r="H8" s="43"/>
      <c r="I8" s="43"/>
      <c r="J8" s="86"/>
      <c r="K8" s="86"/>
      <c r="L8" s="3"/>
    </row>
    <row r="9" spans="1:12" ht="17">
      <c r="A9" s="87"/>
      <c r="B9" s="34"/>
      <c r="C9" s="34"/>
      <c r="D9" s="34"/>
      <c r="E9" s="34"/>
      <c r="F9" s="34"/>
      <c r="G9" s="14"/>
      <c r="H9" s="43"/>
      <c r="I9" s="43"/>
      <c r="J9" s="86"/>
      <c r="K9" s="86"/>
      <c r="L9" s="3"/>
    </row>
    <row r="10" spans="1:12" ht="17">
      <c r="A10" s="43"/>
      <c r="D10" s="43"/>
      <c r="E10" s="43"/>
      <c r="F10" s="43"/>
      <c r="G10" s="43"/>
      <c r="H10" s="43"/>
      <c r="I10" s="43"/>
      <c r="J10" s="43"/>
      <c r="K10" s="43"/>
      <c r="L10" s="2"/>
    </row>
    <row r="11" spans="1:12" ht="17.5" thickBot="1">
      <c r="A11" s="43"/>
      <c r="D11" s="43"/>
      <c r="E11" s="88"/>
      <c r="F11" s="28"/>
      <c r="G11" s="88"/>
      <c r="H11" s="43"/>
      <c r="I11" s="43"/>
      <c r="J11" s="43"/>
      <c r="K11" s="43"/>
      <c r="L11" s="2"/>
    </row>
    <row r="12" spans="1:12" ht="26" thickBot="1">
      <c r="A12" s="27" t="s">
        <v>376</v>
      </c>
      <c r="D12" s="43"/>
      <c r="E12" s="43"/>
      <c r="F12" s="31" t="s">
        <v>76</v>
      </c>
      <c r="G12" s="43"/>
      <c r="H12" s="43"/>
      <c r="I12" s="43"/>
      <c r="J12" s="43"/>
      <c r="K12" s="12"/>
    </row>
    <row r="13" spans="1:12" ht="21.5" thickBot="1">
      <c r="A13" s="30"/>
      <c r="D13" s="43"/>
      <c r="E13" s="88"/>
      <c r="F13" s="36" t="s">
        <v>481</v>
      </c>
      <c r="G13" s="88"/>
      <c r="H13" s="43"/>
      <c r="I13" s="43"/>
      <c r="J13" s="43"/>
      <c r="K13" s="12"/>
    </row>
    <row r="14" spans="1:12" ht="21">
      <c r="A14" s="30"/>
      <c r="B14" s="43"/>
      <c r="C14" s="43"/>
      <c r="D14" s="43"/>
      <c r="E14" s="43"/>
      <c r="F14" s="13" t="s">
        <v>0</v>
      </c>
      <c r="G14" s="43"/>
      <c r="H14" s="43"/>
      <c r="I14" s="43"/>
      <c r="J14" s="43"/>
      <c r="K14" s="12"/>
    </row>
    <row r="15" spans="1:12" ht="17.5" thickBot="1">
      <c r="A15" s="41" t="s">
        <v>0</v>
      </c>
      <c r="B15" s="41" t="s">
        <v>0</v>
      </c>
      <c r="C15" s="41" t="s">
        <v>0</v>
      </c>
      <c r="D15" s="41"/>
      <c r="E15" s="41"/>
      <c r="F15" s="41"/>
      <c r="G15" s="41" t="s">
        <v>0</v>
      </c>
      <c r="H15" s="88"/>
      <c r="I15" s="88"/>
      <c r="J15" s="88"/>
      <c r="K15" s="12"/>
    </row>
    <row r="16" spans="1:12" ht="17.5">
      <c r="A16" s="271"/>
      <c r="B16" s="272"/>
      <c r="C16" s="290"/>
      <c r="D16" s="256" t="s">
        <v>13</v>
      </c>
      <c r="E16" s="286" t="s">
        <v>13</v>
      </c>
      <c r="F16" s="256" t="s">
        <v>13</v>
      </c>
      <c r="G16" s="273" t="s">
        <v>245</v>
      </c>
      <c r="H16" s="287" t="s">
        <v>521</v>
      </c>
      <c r="I16" s="273" t="s">
        <v>521</v>
      </c>
      <c r="J16" s="287" t="s">
        <v>521</v>
      </c>
      <c r="K16" s="12"/>
    </row>
    <row r="17" spans="1:13" ht="17.5">
      <c r="A17" s="89" t="s">
        <v>0</v>
      </c>
      <c r="B17" s="90" t="s">
        <v>3</v>
      </c>
      <c r="C17" s="259" t="s">
        <v>5</v>
      </c>
      <c r="D17" s="92" t="s">
        <v>10</v>
      </c>
      <c r="E17" s="288" t="s">
        <v>10</v>
      </c>
      <c r="F17" s="92" t="s">
        <v>19</v>
      </c>
      <c r="G17" s="93" t="s">
        <v>521</v>
      </c>
      <c r="H17" s="90" t="s">
        <v>12</v>
      </c>
      <c r="I17" s="94" t="s">
        <v>11</v>
      </c>
      <c r="J17" s="95" t="s">
        <v>154</v>
      </c>
      <c r="K17" s="12"/>
    </row>
    <row r="18" spans="1:13" ht="17.5">
      <c r="A18" s="89" t="s">
        <v>2</v>
      </c>
      <c r="B18" s="90" t="s">
        <v>4</v>
      </c>
      <c r="C18" s="259" t="s">
        <v>6</v>
      </c>
      <c r="D18" s="92" t="s">
        <v>45</v>
      </c>
      <c r="E18" s="288" t="s">
        <v>46</v>
      </c>
      <c r="F18" s="92" t="s">
        <v>10</v>
      </c>
      <c r="G18" s="93" t="s">
        <v>10</v>
      </c>
      <c r="H18" s="90" t="s">
        <v>73</v>
      </c>
      <c r="I18" s="277" t="s">
        <v>414</v>
      </c>
      <c r="J18" s="95" t="s">
        <v>246</v>
      </c>
      <c r="K18" s="12" t="s">
        <v>0</v>
      </c>
    </row>
    <row r="19" spans="1:13" ht="18" thickBot="1">
      <c r="A19" s="96" t="s">
        <v>0</v>
      </c>
      <c r="B19" s="97" t="s">
        <v>0</v>
      </c>
      <c r="C19" s="118" t="s">
        <v>0</v>
      </c>
      <c r="D19" s="97" t="s">
        <v>0</v>
      </c>
      <c r="E19" s="98" t="s">
        <v>0</v>
      </c>
      <c r="F19" s="97" t="s">
        <v>0</v>
      </c>
      <c r="G19" s="98" t="s">
        <v>0</v>
      </c>
      <c r="H19" s="99" t="s">
        <v>61</v>
      </c>
      <c r="I19" s="100" t="s">
        <v>60</v>
      </c>
      <c r="J19" s="99" t="s">
        <v>60</v>
      </c>
      <c r="K19" s="12"/>
    </row>
    <row r="20" spans="1:13" ht="17">
      <c r="A20" s="291" t="s">
        <v>7</v>
      </c>
      <c r="B20" s="315" t="s">
        <v>7</v>
      </c>
      <c r="C20" s="291" t="s">
        <v>7</v>
      </c>
      <c r="D20" s="324" t="s">
        <v>7</v>
      </c>
      <c r="E20" s="324" t="s">
        <v>7</v>
      </c>
      <c r="F20" s="42" t="s">
        <v>15</v>
      </c>
      <c r="G20" s="291" t="s">
        <v>7</v>
      </c>
      <c r="H20" s="291" t="s">
        <v>8</v>
      </c>
      <c r="I20" s="291" t="s">
        <v>8</v>
      </c>
      <c r="J20" s="291" t="s">
        <v>8</v>
      </c>
      <c r="K20" s="12"/>
    </row>
    <row r="21" spans="1:13" ht="17.5">
      <c r="A21" s="90"/>
      <c r="B21" s="91"/>
      <c r="C21" s="90"/>
      <c r="D21" s="259"/>
      <c r="E21" s="91"/>
      <c r="F21" s="89"/>
      <c r="G21" s="90"/>
      <c r="H21" s="90"/>
      <c r="I21" s="120"/>
      <c r="J21" s="103"/>
      <c r="K21" s="12"/>
    </row>
    <row r="22" spans="1:13" ht="17.5">
      <c r="A22" s="355" t="s">
        <v>378</v>
      </c>
      <c r="B22" s="34" t="s">
        <v>379</v>
      </c>
      <c r="C22" s="90" t="s">
        <v>377</v>
      </c>
      <c r="D22" s="325">
        <v>14.15</v>
      </c>
      <c r="E22" s="59">
        <v>12.9</v>
      </c>
      <c r="F22" s="401">
        <f t="shared" ref="F22:F24" si="0">AVERAGE(D22,E22)</f>
        <v>13.525</v>
      </c>
      <c r="G22" s="106">
        <v>13.8</v>
      </c>
      <c r="H22" s="358">
        <v>3367525806</v>
      </c>
      <c r="I22" s="358">
        <f>6459000000-2000000</f>
        <v>6457000000</v>
      </c>
      <c r="J22" s="358">
        <f>51380000000+1008000000</f>
        <v>52388000000</v>
      </c>
      <c r="K22" s="12"/>
    </row>
    <row r="23" spans="1:13" ht="17.5">
      <c r="A23" s="355" t="s">
        <v>380</v>
      </c>
      <c r="B23" s="277" t="s">
        <v>381</v>
      </c>
      <c r="C23" s="90" t="s">
        <v>377</v>
      </c>
      <c r="D23" s="325">
        <v>27.95</v>
      </c>
      <c r="E23" s="59">
        <v>25.61</v>
      </c>
      <c r="F23" s="401">
        <f t="shared" si="0"/>
        <v>26.78</v>
      </c>
      <c r="G23" s="106">
        <v>26.35</v>
      </c>
      <c r="H23" s="361">
        <v>2168245238</v>
      </c>
      <c r="I23" s="358">
        <v>28663000000</v>
      </c>
      <c r="J23" s="362">
        <f>1300000000+27448000000</f>
        <v>28748000000</v>
      </c>
      <c r="K23" s="12"/>
    </row>
    <row r="24" spans="1:13" ht="17.5">
      <c r="A24" s="389" t="s">
        <v>382</v>
      </c>
      <c r="B24" s="277" t="s">
        <v>383</v>
      </c>
      <c r="C24" s="90" t="s">
        <v>377</v>
      </c>
      <c r="D24" s="325">
        <v>33.020000000000003</v>
      </c>
      <c r="E24" s="59">
        <v>27.57</v>
      </c>
      <c r="F24" s="401">
        <f t="shared" si="0"/>
        <v>30.295000000000002</v>
      </c>
      <c r="G24" s="106">
        <v>31.63</v>
      </c>
      <c r="H24" s="358">
        <v>157941441</v>
      </c>
      <c r="I24" s="359">
        <v>340200000</v>
      </c>
      <c r="J24" s="358">
        <f>12500000+3198900000</f>
        <v>3211400000</v>
      </c>
      <c r="K24" s="12"/>
    </row>
    <row r="25" spans="1:13" ht="17.5">
      <c r="A25" s="355" t="s">
        <v>384</v>
      </c>
      <c r="B25" s="34" t="s">
        <v>385</v>
      </c>
      <c r="C25" s="90" t="s">
        <v>377</v>
      </c>
      <c r="D25" s="325">
        <v>36.799999999999997</v>
      </c>
      <c r="E25" s="59">
        <v>34.520000000000003</v>
      </c>
      <c r="F25" s="401">
        <f t="shared" ref="F25:F28" si="1">AVERAGE(D25,E25)</f>
        <v>35.659999999999997</v>
      </c>
      <c r="G25" s="106">
        <v>36.72</v>
      </c>
      <c r="H25" s="358">
        <v>1010717254</v>
      </c>
      <c r="I25" s="358">
        <v>895000000</v>
      </c>
      <c r="J25" s="358">
        <f>1135000000+19296000000</f>
        <v>20431000000</v>
      </c>
      <c r="K25" s="12"/>
      <c r="L25" t="s">
        <v>0</v>
      </c>
    </row>
    <row r="26" spans="1:13" ht="17.5">
      <c r="A26" s="355" t="s">
        <v>386</v>
      </c>
      <c r="B26" s="34" t="s">
        <v>387</v>
      </c>
      <c r="C26" s="90" t="s">
        <v>377</v>
      </c>
      <c r="D26" s="325">
        <v>19.32</v>
      </c>
      <c r="E26" s="59">
        <v>16.420000000000002</v>
      </c>
      <c r="F26" s="401">
        <f t="shared" ref="F26" si="2">AVERAGE(D26,E26)</f>
        <v>17.87</v>
      </c>
      <c r="G26" s="106">
        <v>18.68</v>
      </c>
      <c r="H26" s="358">
        <v>126532875</v>
      </c>
      <c r="I26" s="358">
        <f>218307000+371476000+166518000</f>
        <v>756301000</v>
      </c>
      <c r="J26" s="358">
        <f>4951000+3410338000+4951000</f>
        <v>3420240000</v>
      </c>
      <c r="K26" s="12"/>
      <c r="L26" t="s">
        <v>0</v>
      </c>
    </row>
    <row r="27" spans="1:13" ht="17.5">
      <c r="A27" s="355" t="s">
        <v>388</v>
      </c>
      <c r="B27" s="34" t="s">
        <v>389</v>
      </c>
      <c r="C27" s="90" t="s">
        <v>377</v>
      </c>
      <c r="D27" s="325">
        <v>16.04</v>
      </c>
      <c r="E27" s="59">
        <v>14.25</v>
      </c>
      <c r="F27" s="401">
        <f t="shared" si="1"/>
        <v>15.145</v>
      </c>
      <c r="G27" s="106">
        <v>15.15</v>
      </c>
      <c r="H27" s="358">
        <v>701071031</v>
      </c>
      <c r="I27" s="359">
        <f>1509000000+787000000</f>
        <v>2296000000</v>
      </c>
      <c r="J27" s="360">
        <f>7242000000+63000000+274000000</f>
        <v>7579000000</v>
      </c>
      <c r="K27" s="12"/>
      <c r="L27" t="s">
        <v>0</v>
      </c>
    </row>
    <row r="28" spans="1:13" ht="18" thickBot="1">
      <c r="A28" s="390" t="s">
        <v>390</v>
      </c>
      <c r="B28" s="36" t="s">
        <v>391</v>
      </c>
      <c r="C28" s="97" t="s">
        <v>377</v>
      </c>
      <c r="D28" s="405">
        <v>30.2</v>
      </c>
      <c r="E28" s="404">
        <v>26.14</v>
      </c>
      <c r="F28" s="403">
        <f t="shared" si="1"/>
        <v>28.17</v>
      </c>
      <c r="G28" s="402">
        <v>29.26</v>
      </c>
      <c r="H28" s="356">
        <v>379519983</v>
      </c>
      <c r="I28" s="357">
        <v>3193000</v>
      </c>
      <c r="J28" s="356">
        <f>7283556000</f>
        <v>7283556000</v>
      </c>
      <c r="K28" s="12"/>
      <c r="M28" s="10" t="s">
        <v>0</v>
      </c>
    </row>
    <row r="29" spans="1:13" ht="17.5">
      <c r="A29" s="108"/>
      <c r="B29" s="108"/>
      <c r="C29" s="108"/>
      <c r="D29" s="108"/>
      <c r="E29" s="108"/>
      <c r="F29" s="108"/>
      <c r="G29" s="108"/>
      <c r="H29" s="108"/>
      <c r="I29" s="108"/>
      <c r="J29" s="108"/>
      <c r="K29" s="12"/>
      <c r="L29" t="s">
        <v>0</v>
      </c>
    </row>
    <row r="30" spans="1:13" ht="17.5">
      <c r="A30" s="108"/>
      <c r="B30" s="108"/>
      <c r="C30" s="108"/>
      <c r="D30" s="108"/>
      <c r="E30" s="108"/>
      <c r="F30" s="108"/>
      <c r="G30" s="108"/>
      <c r="H30" s="108"/>
      <c r="I30" s="108"/>
      <c r="J30" s="108" t="s">
        <v>0</v>
      </c>
      <c r="K30" s="12"/>
    </row>
    <row r="31" spans="1:13" ht="18" thickBot="1">
      <c r="A31" s="109" t="s">
        <v>0</v>
      </c>
      <c r="B31" s="110"/>
      <c r="C31" s="110"/>
      <c r="D31" s="110"/>
      <c r="E31" s="110"/>
      <c r="F31" s="28"/>
      <c r="G31" s="110"/>
      <c r="H31" s="110"/>
      <c r="I31" s="110"/>
      <c r="J31" s="108"/>
      <c r="K31" s="108"/>
      <c r="L31" s="4"/>
    </row>
    <row r="32" spans="1:13" ht="17.5">
      <c r="A32" s="111"/>
      <c r="B32" s="112"/>
      <c r="C32" s="112"/>
      <c r="D32" s="112"/>
      <c r="E32" s="113" t="s">
        <v>0</v>
      </c>
      <c r="F32" s="113" t="s">
        <v>0</v>
      </c>
      <c r="G32" s="114"/>
      <c r="H32" s="112"/>
      <c r="I32" s="112"/>
      <c r="J32" s="115"/>
      <c r="K32" s="108"/>
      <c r="L32" s="4"/>
    </row>
    <row r="33" spans="1:12" ht="17.5">
      <c r="A33" s="89"/>
      <c r="B33" s="91"/>
      <c r="C33" s="91"/>
      <c r="D33" s="93" t="s">
        <v>521</v>
      </c>
      <c r="E33" s="91" t="s">
        <v>521</v>
      </c>
      <c r="F33" s="91" t="s">
        <v>521</v>
      </c>
      <c r="G33" s="93" t="s">
        <v>521</v>
      </c>
      <c r="H33" s="93" t="s">
        <v>521</v>
      </c>
      <c r="I33" s="93" t="s">
        <v>521</v>
      </c>
      <c r="J33" s="116" t="s">
        <v>521</v>
      </c>
      <c r="K33" s="12"/>
      <c r="L33" s="5"/>
    </row>
    <row r="34" spans="1:12" ht="17.5">
      <c r="A34" s="89" t="s">
        <v>0</v>
      </c>
      <c r="B34" s="91" t="s">
        <v>3</v>
      </c>
      <c r="C34" s="91" t="s">
        <v>5</v>
      </c>
      <c r="D34" s="91" t="s">
        <v>12</v>
      </c>
      <c r="E34" s="105" t="s">
        <v>153</v>
      </c>
      <c r="F34" s="105" t="s">
        <v>299</v>
      </c>
      <c r="G34" s="91" t="s">
        <v>210</v>
      </c>
      <c r="H34" s="105" t="s">
        <v>16</v>
      </c>
      <c r="I34" s="105" t="s">
        <v>17</v>
      </c>
      <c r="J34" s="117" t="s">
        <v>51</v>
      </c>
      <c r="K34" s="12"/>
      <c r="L34" s="5"/>
    </row>
    <row r="35" spans="1:12" ht="18" thickBot="1">
      <c r="A35" s="96" t="s">
        <v>2</v>
      </c>
      <c r="B35" s="98" t="s">
        <v>4</v>
      </c>
      <c r="C35" s="98" t="s">
        <v>6</v>
      </c>
      <c r="D35" s="98" t="s">
        <v>14</v>
      </c>
      <c r="E35" s="98" t="s">
        <v>14</v>
      </c>
      <c r="F35" s="98" t="s">
        <v>312</v>
      </c>
      <c r="G35" s="98" t="s">
        <v>14</v>
      </c>
      <c r="H35" s="98" t="s">
        <v>367</v>
      </c>
      <c r="I35" s="98" t="s">
        <v>0</v>
      </c>
      <c r="J35" s="118" t="s">
        <v>368</v>
      </c>
      <c r="K35" s="12"/>
      <c r="L35" s="1"/>
    </row>
    <row r="36" spans="1:12" ht="17">
      <c r="A36" s="101" t="s">
        <v>7</v>
      </c>
      <c r="B36" s="42" t="s">
        <v>7</v>
      </c>
      <c r="C36" s="42" t="s">
        <v>7</v>
      </c>
      <c r="D36" s="42" t="s">
        <v>15</v>
      </c>
      <c r="E36" s="42" t="s">
        <v>8</v>
      </c>
      <c r="F36" s="42" t="s">
        <v>8</v>
      </c>
      <c r="G36" s="42" t="s">
        <v>8</v>
      </c>
      <c r="H36" s="42" t="s">
        <v>15</v>
      </c>
      <c r="I36" s="42" t="s">
        <v>15</v>
      </c>
      <c r="J36" s="119" t="s">
        <v>15</v>
      </c>
      <c r="K36" s="12"/>
      <c r="L36" s="5"/>
    </row>
    <row r="37" spans="1:12" ht="17.5">
      <c r="A37" s="89"/>
      <c r="B37" s="91"/>
      <c r="C37" s="91"/>
      <c r="D37" s="108"/>
      <c r="E37" s="108"/>
      <c r="F37" s="108"/>
      <c r="G37" s="108"/>
      <c r="H37" s="62"/>
      <c r="I37" s="62"/>
      <c r="J37" s="120"/>
      <c r="K37" s="12"/>
      <c r="L37" s="4"/>
    </row>
    <row r="38" spans="1:12" ht="17.5">
      <c r="A38" s="104" t="str">
        <f t="shared" ref="A38:C42" si="3">+A22</f>
        <v>Energy Transfer LP</v>
      </c>
      <c r="B38" s="91" t="str">
        <f t="shared" si="3"/>
        <v>ET</v>
      </c>
      <c r="C38" s="91" t="str">
        <f t="shared" si="3"/>
        <v>Pipeline MLPs</v>
      </c>
      <c r="D38" s="121">
        <f t="shared" ref="D38:D44" si="4">(+H22)*G22</f>
        <v>46471856122.800003</v>
      </c>
      <c r="E38" s="121">
        <f t="shared" ref="E38:E44" si="5">(1/1)*I22</f>
        <v>6457000000</v>
      </c>
      <c r="F38" s="121">
        <v>778000000</v>
      </c>
      <c r="G38" s="107">
        <f>J22*(51.93/52.39)</f>
        <v>51928017560.603172</v>
      </c>
      <c r="H38" s="107">
        <f t="shared" ref="H38:H40" si="6">+D38+E38+F38+G38</f>
        <v>105634873683.40317</v>
      </c>
      <c r="I38" s="122">
        <f t="shared" ref="I38:I40" si="7">(+D38)/H38</f>
        <v>0.43992911149853947</v>
      </c>
      <c r="J38" s="123">
        <f t="shared" ref="J38:J39" si="8">(+E38+F38+G38)/H38</f>
        <v>0.56007088850146058</v>
      </c>
      <c r="K38" s="12"/>
      <c r="L38" s="4"/>
    </row>
    <row r="39" spans="1:12" ht="17.5">
      <c r="A39" s="104" t="str">
        <f t="shared" si="3"/>
        <v>Enterprise Products Partnership LP</v>
      </c>
      <c r="B39" s="91" t="str">
        <f t="shared" si="3"/>
        <v>EPD</v>
      </c>
      <c r="C39" s="91" t="str">
        <f t="shared" si="3"/>
        <v>Pipeline MLPs</v>
      </c>
      <c r="D39" s="121">
        <f t="shared" si="4"/>
        <v>57133262021.300003</v>
      </c>
      <c r="E39" s="121">
        <f t="shared" si="5"/>
        <v>28663000000</v>
      </c>
      <c r="F39" s="121">
        <v>398000000</v>
      </c>
      <c r="G39" s="107">
        <v>26700000000</v>
      </c>
      <c r="H39" s="107">
        <f t="shared" si="6"/>
        <v>112894262021.3</v>
      </c>
      <c r="I39" s="122">
        <f t="shared" si="7"/>
        <v>0.50607764290554069</v>
      </c>
      <c r="J39" s="123">
        <f t="shared" si="8"/>
        <v>0.49392235709445936</v>
      </c>
      <c r="K39" s="12"/>
      <c r="L39" s="4"/>
    </row>
    <row r="40" spans="1:12" ht="17.5">
      <c r="A40" s="363" t="str">
        <f t="shared" si="3"/>
        <v>Hess Midstream LP</v>
      </c>
      <c r="B40" s="91" t="str">
        <f t="shared" si="3"/>
        <v>HESM</v>
      </c>
      <c r="C40" s="91" t="str">
        <f t="shared" si="3"/>
        <v>Pipeline MLPs</v>
      </c>
      <c r="D40" s="121">
        <f t="shared" si="4"/>
        <v>4995687778.8299999</v>
      </c>
      <c r="E40" s="326">
        <f t="shared" si="5"/>
        <v>340200000</v>
      </c>
      <c r="F40" s="121">
        <v>0</v>
      </c>
      <c r="G40" s="107">
        <v>3143300000</v>
      </c>
      <c r="H40" s="107">
        <f t="shared" si="6"/>
        <v>8479187778.8299999</v>
      </c>
      <c r="I40" s="122">
        <f t="shared" si="7"/>
        <v>0.58917055608825419</v>
      </c>
      <c r="J40" s="123">
        <f>(+E40+F40+G40)/H40</f>
        <v>0.41082944391174581</v>
      </c>
      <c r="K40" s="12"/>
      <c r="L40" s="4"/>
    </row>
    <row r="41" spans="1:12" ht="17.5">
      <c r="A41" s="104" t="str">
        <f t="shared" si="3"/>
        <v>MPLX, LP</v>
      </c>
      <c r="B41" s="91" t="str">
        <f t="shared" si="3"/>
        <v>MPLX</v>
      </c>
      <c r="C41" s="91" t="str">
        <f t="shared" si="3"/>
        <v>Pipeline MLPs</v>
      </c>
      <c r="D41" s="121">
        <f t="shared" si="4"/>
        <v>37113537566.879997</v>
      </c>
      <c r="E41" s="121">
        <f t="shared" si="5"/>
        <v>895000000</v>
      </c>
      <c r="F41" s="121">
        <v>45000000</v>
      </c>
      <c r="G41" s="107">
        <v>19377000000</v>
      </c>
      <c r="H41" s="107">
        <f t="shared" ref="H41:H44" si="9">+D41+E41+F41+G41</f>
        <v>57430537566.879997</v>
      </c>
      <c r="I41" s="122">
        <f t="shared" ref="I41:I44" si="10">(+D41)/H41</f>
        <v>0.64623350466918239</v>
      </c>
      <c r="J41" s="123">
        <f t="shared" ref="J41:J44" si="11">(+E41+F41+G41)/H41</f>
        <v>0.35376649533081767</v>
      </c>
      <c r="K41" s="12"/>
      <c r="L41" s="4" t="s">
        <v>0</v>
      </c>
    </row>
    <row r="42" spans="1:12" ht="17.5">
      <c r="A42" s="104" t="str">
        <f t="shared" si="3"/>
        <v>NuStar Energy LP</v>
      </c>
      <c r="B42" s="91" t="str">
        <f t="shared" si="3"/>
        <v>NS</v>
      </c>
      <c r="C42" s="91" t="str">
        <f t="shared" si="3"/>
        <v>Pipeline MLPs</v>
      </c>
      <c r="D42" s="121">
        <f t="shared" si="4"/>
        <v>2363634105</v>
      </c>
      <c r="E42" s="121">
        <f t="shared" si="5"/>
        <v>756301000</v>
      </c>
      <c r="F42" s="121">
        <v>144133000</v>
      </c>
      <c r="G42" s="107">
        <v>3426307000</v>
      </c>
      <c r="H42" s="107">
        <f t="shared" ref="H42" si="12">+D42+E42+F42+G42</f>
        <v>6690375105</v>
      </c>
      <c r="I42" s="122">
        <f t="shared" ref="I42" si="13">(+D42)/H42</f>
        <v>0.35328872714977616</v>
      </c>
      <c r="J42" s="123">
        <f t="shared" ref="J42" si="14">(+E42+F42+G42)/H42</f>
        <v>0.64671127285022389</v>
      </c>
      <c r="K42" s="12"/>
      <c r="L42" s="4"/>
    </row>
    <row r="43" spans="1:12" ht="17.5">
      <c r="A43" s="104" t="str">
        <f t="shared" ref="A43:C43" si="15">+A27</f>
        <v>Plains All American Pipeline LP</v>
      </c>
      <c r="B43" s="91" t="str">
        <f t="shared" si="15"/>
        <v>PAA</v>
      </c>
      <c r="C43" s="91" t="str">
        <f t="shared" si="15"/>
        <v>Pipeline MLPs</v>
      </c>
      <c r="D43" s="121">
        <f t="shared" si="4"/>
        <v>10621226119.65</v>
      </c>
      <c r="E43" s="121">
        <f t="shared" si="5"/>
        <v>2296000000</v>
      </c>
      <c r="F43" s="121">
        <v>343000000</v>
      </c>
      <c r="G43" s="107">
        <f>(6.9/7.3)*J27</f>
        <v>7163712328.7671242</v>
      </c>
      <c r="H43" s="107">
        <f t="shared" si="9"/>
        <v>20423938448.417122</v>
      </c>
      <c r="I43" s="122">
        <f t="shared" si="10"/>
        <v>0.52003809874746054</v>
      </c>
      <c r="J43" s="123">
        <f t="shared" si="11"/>
        <v>0.47996190125253951</v>
      </c>
      <c r="K43" s="12"/>
      <c r="L43" s="4"/>
    </row>
    <row r="44" spans="1:12" ht="17.5">
      <c r="A44" s="363" t="str">
        <f t="shared" ref="A44:C44" si="16">+A28</f>
        <v>Western Midstream Partners LP</v>
      </c>
      <c r="B44" s="91" t="str">
        <f t="shared" si="16"/>
        <v>WES</v>
      </c>
      <c r="C44" s="91" t="str">
        <f t="shared" si="16"/>
        <v>Pipeline MLPs</v>
      </c>
      <c r="D44" s="121">
        <f t="shared" si="4"/>
        <v>11104754702.58</v>
      </c>
      <c r="E44" s="121">
        <f t="shared" si="5"/>
        <v>3193000</v>
      </c>
      <c r="F44" s="121">
        <v>59718000</v>
      </c>
      <c r="G44" s="107">
        <v>7011688000</v>
      </c>
      <c r="H44" s="107">
        <f t="shared" si="9"/>
        <v>18179353702.580002</v>
      </c>
      <c r="I44" s="122">
        <f t="shared" si="10"/>
        <v>0.61084430636299358</v>
      </c>
      <c r="J44" s="123">
        <f t="shared" si="11"/>
        <v>0.38915569363700636</v>
      </c>
      <c r="K44" s="12"/>
      <c r="L44" s="4"/>
    </row>
    <row r="45" spans="1:12" ht="18" thickBot="1">
      <c r="A45" s="124"/>
      <c r="B45" s="110"/>
      <c r="C45" s="110"/>
      <c r="D45" s="110"/>
      <c r="E45" s="110"/>
      <c r="F45" s="110"/>
      <c r="G45" s="110"/>
      <c r="H45" s="110"/>
      <c r="I45" s="110"/>
      <c r="J45" s="125"/>
      <c r="K45" s="12"/>
    </row>
    <row r="46" spans="1:12" ht="17.5">
      <c r="A46" s="12"/>
      <c r="B46" s="12"/>
      <c r="C46" s="12"/>
      <c r="D46" s="12"/>
      <c r="E46" s="12"/>
      <c r="F46" s="12"/>
      <c r="G46" s="12"/>
      <c r="H46" s="126" t="s">
        <v>45</v>
      </c>
      <c r="I46" s="129">
        <f>MAX(I38:I44)</f>
        <v>0.64623350466918239</v>
      </c>
      <c r="J46" s="129">
        <f>MAX(J38:J44)</f>
        <v>0.64671127285022389</v>
      </c>
      <c r="K46" s="12"/>
    </row>
    <row r="47" spans="1:12" ht="17.5">
      <c r="E47" s="12" t="s">
        <v>0</v>
      </c>
      <c r="G47" s="12" t="s">
        <v>0</v>
      </c>
      <c r="H47" s="375" t="s">
        <v>46</v>
      </c>
      <c r="I47" s="376">
        <f>MIN(I38:I44)</f>
        <v>0.35328872714977616</v>
      </c>
      <c r="J47" s="376">
        <f>MIN(J38:J44)</f>
        <v>0.35376649533081767</v>
      </c>
      <c r="K47" s="12"/>
    </row>
    <row r="48" spans="1:12" ht="17.5">
      <c r="E48" s="127"/>
      <c r="F48" s="327" t="s">
        <v>0</v>
      </c>
      <c r="G48" s="12" t="s">
        <v>0</v>
      </c>
      <c r="H48" s="14" t="s">
        <v>18</v>
      </c>
      <c r="I48" s="128">
        <f>MEDIAN(I38:I44)</f>
        <v>0.52003809874746054</v>
      </c>
      <c r="J48" s="129">
        <f>MEDIAN(J38:J44)</f>
        <v>0.47996190125253951</v>
      </c>
      <c r="K48" s="12"/>
    </row>
    <row r="49" spans="1:11" ht="17.5">
      <c r="E49" s="328" t="s">
        <v>0</v>
      </c>
      <c r="F49" s="327" t="s">
        <v>0</v>
      </c>
      <c r="G49" s="12" t="s">
        <v>0</v>
      </c>
      <c r="H49" s="14" t="s">
        <v>440</v>
      </c>
      <c r="I49" s="128">
        <f>AVERAGE(I38:I44)</f>
        <v>0.5236545639173924</v>
      </c>
      <c r="J49" s="129">
        <f>AVERAGE(J38:J44)</f>
        <v>0.4763454360826076</v>
      </c>
      <c r="K49" s="12"/>
    </row>
    <row r="50" spans="1:11" ht="18" thickBot="1">
      <c r="E50" s="127"/>
      <c r="G50" s="12"/>
      <c r="H50" s="12"/>
      <c r="I50" s="62"/>
      <c r="J50" s="62"/>
      <c r="K50" s="12"/>
    </row>
    <row r="51" spans="1:11" ht="26" thickBot="1">
      <c r="E51" s="127"/>
      <c r="G51" s="12"/>
      <c r="H51" s="216" t="s">
        <v>212</v>
      </c>
      <c r="I51" s="329">
        <v>0.52</v>
      </c>
      <c r="J51" s="330">
        <v>0.48</v>
      </c>
      <c r="K51" s="12"/>
    </row>
    <row r="52" spans="1:11" ht="17.5">
      <c r="E52" s="127"/>
      <c r="F52" s="12"/>
      <c r="G52" s="12"/>
      <c r="H52" s="12"/>
      <c r="I52" s="62"/>
      <c r="J52" s="62" t="s">
        <v>0</v>
      </c>
      <c r="K52" s="12"/>
    </row>
    <row r="53" spans="1:11" ht="17">
      <c r="E53" s="127"/>
      <c r="F53" s="12"/>
      <c r="G53" s="12"/>
      <c r="H53" s="12"/>
      <c r="I53" s="12"/>
      <c r="J53" s="12"/>
      <c r="K53" s="12"/>
    </row>
    <row r="54" spans="1:11" ht="17">
      <c r="E54" s="127"/>
      <c r="F54" s="12"/>
      <c r="G54" s="12"/>
      <c r="H54" s="12"/>
      <c r="I54" s="12"/>
      <c r="J54" s="12"/>
      <c r="K54" s="12"/>
    </row>
    <row r="55" spans="1:11" ht="26">
      <c r="A55" s="22" t="s">
        <v>72</v>
      </c>
      <c r="B55" s="12"/>
      <c r="C55" s="76"/>
      <c r="D55" s="131"/>
      <c r="E55" s="127"/>
      <c r="F55" s="12"/>
      <c r="G55" s="12"/>
      <c r="H55" s="12"/>
      <c r="I55" s="12"/>
      <c r="J55" s="12"/>
      <c r="K55" s="12"/>
    </row>
    <row r="56" spans="1:11" ht="17">
      <c r="A56" s="87" t="s">
        <v>54</v>
      </c>
      <c r="B56" s="12"/>
      <c r="C56" s="76"/>
      <c r="D56" s="131"/>
      <c r="E56" s="127"/>
      <c r="F56" s="12"/>
      <c r="G56" s="12"/>
      <c r="H56" s="12"/>
      <c r="I56" s="12"/>
      <c r="J56" s="12"/>
      <c r="K56" s="12"/>
    </row>
    <row r="57" spans="1:11" ht="17">
      <c r="A57" s="12" t="s">
        <v>0</v>
      </c>
      <c r="B57" s="12"/>
      <c r="C57" s="76"/>
      <c r="D57" s="131"/>
      <c r="E57" s="127"/>
      <c r="F57" s="12"/>
      <c r="G57" s="12"/>
      <c r="H57" s="12"/>
      <c r="I57" s="12"/>
      <c r="J57" s="12"/>
      <c r="K57" s="12"/>
    </row>
    <row r="58" spans="1:11" ht="17">
      <c r="A58" s="12" t="s">
        <v>157</v>
      </c>
    </row>
    <row r="59" spans="1:11" ht="17">
      <c r="A59" s="12" t="s">
        <v>155</v>
      </c>
    </row>
    <row r="60" spans="1:11" ht="17">
      <c r="A60" s="12" t="s">
        <v>156</v>
      </c>
    </row>
    <row r="61" spans="1:11" ht="17">
      <c r="A61" s="12" t="s">
        <v>319</v>
      </c>
    </row>
    <row r="64" spans="1:11" ht="26">
      <c r="A64" s="289" t="s">
        <v>320</v>
      </c>
    </row>
    <row r="65" spans="1:5" ht="17.25" customHeight="1">
      <c r="A65" s="135" t="s">
        <v>392</v>
      </c>
      <c r="B65" s="354"/>
      <c r="C65" s="354"/>
      <c r="D65" s="348"/>
      <c r="E65" s="348"/>
    </row>
    <row r="66" spans="1:5" ht="17">
      <c r="A66" s="135" t="s">
        <v>393</v>
      </c>
      <c r="B66" s="354"/>
      <c r="C66" s="354"/>
      <c r="D66" s="348"/>
      <c r="E66" s="348"/>
    </row>
    <row r="67" spans="1:5" ht="17">
      <c r="A67" s="135" t="s">
        <v>394</v>
      </c>
      <c r="B67" s="348"/>
      <c r="C67" s="348"/>
      <c r="D67" s="348"/>
      <c r="E67" s="348"/>
    </row>
    <row r="68" spans="1:5" ht="17">
      <c r="A68" s="135" t="s">
        <v>395</v>
      </c>
      <c r="B68" s="348"/>
      <c r="C68" s="348"/>
      <c r="D68" s="348"/>
      <c r="E68" s="348"/>
    </row>
    <row r="69" spans="1:5" ht="17">
      <c r="A69" s="135" t="s">
        <v>396</v>
      </c>
      <c r="B69" s="348"/>
      <c r="C69" s="348"/>
      <c r="D69" s="348"/>
      <c r="E69" s="348"/>
    </row>
    <row r="70" spans="1:5" ht="17">
      <c r="A70" s="135" t="s">
        <v>518</v>
      </c>
      <c r="B70" s="348"/>
      <c r="C70" s="348"/>
      <c r="D70" s="348"/>
      <c r="E70" s="348"/>
    </row>
    <row r="71" spans="1:5" ht="17">
      <c r="A71" s="135" t="s">
        <v>397</v>
      </c>
      <c r="B71" s="348"/>
      <c r="C71" s="348"/>
      <c r="D71" s="348"/>
      <c r="E71" s="348"/>
    </row>
    <row r="72" spans="1:5" ht="20.25" customHeight="1">
      <c r="A72" s="135" t="s">
        <v>398</v>
      </c>
      <c r="B72" s="348"/>
      <c r="C72" s="348"/>
      <c r="D72" s="348"/>
      <c r="E72" s="348"/>
    </row>
    <row r="73" spans="1:5" ht="20.25" customHeight="1">
      <c r="A73" s="135" t="s">
        <v>519</v>
      </c>
      <c r="B73" s="348"/>
      <c r="C73" s="348"/>
      <c r="D73" s="348"/>
      <c r="E73" s="348"/>
    </row>
    <row r="74" spans="1:5" ht="20.25" customHeight="1">
      <c r="A74" s="135" t="s">
        <v>520</v>
      </c>
      <c r="B74" s="348"/>
      <c r="C74" s="348"/>
      <c r="D74" s="348"/>
      <c r="E74" s="348"/>
    </row>
    <row r="75" spans="1:5" ht="17">
      <c r="A75" s="135" t="s">
        <v>399</v>
      </c>
      <c r="B75" s="348"/>
      <c r="C75" s="348"/>
      <c r="D75" s="348"/>
      <c r="E75" s="348"/>
    </row>
    <row r="76" spans="1:5" ht="17.5">
      <c r="A76" s="386" t="s">
        <v>413</v>
      </c>
      <c r="B76" s="348"/>
      <c r="C76" s="348"/>
      <c r="D76" s="348"/>
      <c r="E76" s="348"/>
    </row>
    <row r="77" spans="1:5" ht="17">
      <c r="A77" s="135" t="s">
        <v>400</v>
      </c>
      <c r="B77" s="348"/>
      <c r="C77" s="348"/>
      <c r="D77" s="348"/>
      <c r="E77" s="348"/>
    </row>
    <row r="78" spans="1:5" ht="17">
      <c r="A78" s="135" t="s">
        <v>401</v>
      </c>
    </row>
    <row r="79" spans="1:5" ht="17">
      <c r="A79" s="135" t="s">
        <v>402</v>
      </c>
      <c r="B79" s="348"/>
      <c r="C79" s="348"/>
      <c r="D79" s="348"/>
      <c r="E79" s="348"/>
    </row>
    <row r="80" spans="1:5" ht="17">
      <c r="A80" s="135" t="s">
        <v>403</v>
      </c>
      <c r="B80" s="348"/>
      <c r="C80" s="348"/>
      <c r="D80" s="348"/>
      <c r="E80" s="348"/>
    </row>
    <row r="81" spans="1:5" ht="17">
      <c r="A81" s="135" t="s">
        <v>404</v>
      </c>
      <c r="B81" s="348"/>
      <c r="C81" s="348"/>
      <c r="D81" s="348"/>
      <c r="E81" s="348"/>
    </row>
    <row r="82" spans="1:5" ht="17">
      <c r="A82" s="135" t="s">
        <v>405</v>
      </c>
      <c r="B82" s="348"/>
      <c r="C82" s="348"/>
      <c r="D82" s="348"/>
      <c r="E82" s="348"/>
    </row>
    <row r="83" spans="1:5" ht="17">
      <c r="A83" s="135" t="s">
        <v>406</v>
      </c>
      <c r="B83" s="348"/>
      <c r="C83" s="348"/>
      <c r="D83" s="348"/>
      <c r="E83" s="348"/>
    </row>
    <row r="84" spans="1:5" ht="17">
      <c r="A84" s="135" t="s">
        <v>407</v>
      </c>
    </row>
    <row r="85" spans="1:5" ht="17">
      <c r="A85" s="135"/>
    </row>
    <row r="86" spans="1:5" ht="26">
      <c r="A86" s="289" t="s">
        <v>408</v>
      </c>
    </row>
    <row r="87" spans="1:5" ht="17">
      <c r="A87" s="215" t="s">
        <v>409</v>
      </c>
    </row>
    <row r="88" spans="1:5" ht="17">
      <c r="A88" s="215" t="s">
        <v>410</v>
      </c>
    </row>
    <row r="89" spans="1:5" ht="26">
      <c r="A89" s="289" t="s">
        <v>411</v>
      </c>
    </row>
    <row r="90" spans="1:5" ht="17">
      <c r="A90" s="215" t="s">
        <v>412</v>
      </c>
    </row>
  </sheetData>
  <pageMargins left="0.25" right="0.25" top="0.75" bottom="0.75" header="0.3" footer="0.3"/>
  <pageSetup scale="30" orientation="landscape" r:id="rId1"/>
  <rowBreaks count="1" manualBreakCount="1">
    <brk id="51" max="11" man="1"/>
  </rowBreaks>
  <colBreaks count="1" manualBreakCount="1">
    <brk id="11" max="9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J60"/>
  <sheetViews>
    <sheetView view="pageBreakPreview" zoomScale="70" zoomScaleNormal="80" zoomScaleSheetLayoutView="70" zoomScalePageLayoutView="70" workbookViewId="0">
      <pane xSplit="1" topLeftCell="B1" activePane="topRight" state="frozen"/>
      <selection pane="topRight" activeCell="D46" sqref="D46"/>
    </sheetView>
  </sheetViews>
  <sheetFormatPr defaultRowHeight="14.5"/>
  <cols>
    <col min="1" max="1" width="62.453125" customWidth="1"/>
    <col min="2" max="2" width="11.54296875" bestFit="1" customWidth="1"/>
    <col min="3" max="3" width="20.453125" bestFit="1" customWidth="1"/>
    <col min="4" max="4" width="30.1796875" customWidth="1"/>
    <col min="5" max="5" width="28" customWidth="1"/>
    <col min="6" max="6" width="29.1796875" customWidth="1"/>
    <col min="7" max="7" width="23.453125" customWidth="1"/>
    <col min="8" max="8" width="12.81640625" customWidth="1"/>
    <col min="9" max="9" width="25.81640625" bestFit="1" customWidth="1"/>
    <col min="10" max="10" width="30.1796875" bestFit="1" customWidth="1"/>
    <col min="11" max="11" width="9.1796875" customWidth="1"/>
  </cols>
  <sheetData>
    <row r="1" spans="1:9" ht="25.5">
      <c r="A1" s="23" t="s">
        <v>1</v>
      </c>
      <c r="B1" s="12"/>
      <c r="C1" s="12"/>
      <c r="D1" s="12"/>
      <c r="E1" s="12"/>
      <c r="F1" s="12"/>
      <c r="G1" s="12"/>
      <c r="H1" s="12"/>
    </row>
    <row r="2" spans="1:9" ht="17.5">
      <c r="A2" s="24" t="s">
        <v>9</v>
      </c>
      <c r="B2" s="12"/>
      <c r="C2" s="12"/>
      <c r="D2" s="12"/>
      <c r="E2" s="12"/>
      <c r="F2" s="12"/>
      <c r="G2" s="12"/>
      <c r="H2" s="12"/>
    </row>
    <row r="3" spans="1:9" ht="17">
      <c r="A3" s="25" t="s">
        <v>480</v>
      </c>
      <c r="B3" s="12"/>
      <c r="C3" s="12"/>
      <c r="D3" s="12"/>
      <c r="E3" s="12"/>
      <c r="F3" s="12"/>
      <c r="G3" s="12"/>
      <c r="H3" s="12"/>
    </row>
    <row r="4" spans="1:9" ht="17">
      <c r="A4" s="25"/>
      <c r="B4" s="12"/>
      <c r="C4" s="12"/>
      <c r="D4" s="12"/>
      <c r="E4" s="12"/>
      <c r="F4" s="215" t="s">
        <v>0</v>
      </c>
      <c r="G4" s="12"/>
      <c r="H4" s="12"/>
    </row>
    <row r="5" spans="1:9" ht="17">
      <c r="B5" s="12"/>
      <c r="C5" s="12"/>
      <c r="D5" s="12"/>
      <c r="E5" s="26"/>
      <c r="F5" s="215" t="s">
        <v>0</v>
      </c>
      <c r="G5" s="12"/>
      <c r="H5" s="12" t="s">
        <v>0</v>
      </c>
    </row>
    <row r="6" spans="1:9" ht="17">
      <c r="A6" s="87"/>
      <c r="B6" s="34"/>
      <c r="C6" s="34"/>
      <c r="D6" s="34"/>
      <c r="E6" s="34"/>
      <c r="F6" s="34"/>
      <c r="G6" s="14"/>
      <c r="H6" s="86"/>
      <c r="I6" s="3"/>
    </row>
    <row r="7" spans="1:9" ht="17">
      <c r="A7" s="43"/>
      <c r="B7" s="43"/>
      <c r="C7" s="43"/>
      <c r="D7" s="43"/>
      <c r="E7" s="43"/>
      <c r="F7" s="43"/>
      <c r="G7" s="43"/>
      <c r="H7" s="43"/>
      <c r="I7" s="2"/>
    </row>
    <row r="8" spans="1:9" ht="17.5" thickBot="1">
      <c r="A8" s="43"/>
      <c r="B8" s="43"/>
      <c r="C8" s="43"/>
      <c r="D8" s="88"/>
      <c r="E8" s="28"/>
      <c r="F8" s="88"/>
      <c r="H8" s="43"/>
      <c r="I8" s="2"/>
    </row>
    <row r="9" spans="1:9" ht="26" thickBot="1">
      <c r="A9" s="27" t="str">
        <f>+'S&amp;D'!A12</f>
        <v>Liquid Transportation Pipeline Carriers</v>
      </c>
      <c r="B9" s="43"/>
      <c r="C9" s="43"/>
      <c r="D9" s="43"/>
      <c r="E9" s="31" t="s">
        <v>310</v>
      </c>
      <c r="F9" s="43"/>
      <c r="H9" s="12"/>
    </row>
    <row r="10" spans="1:9" ht="21.5" thickBot="1">
      <c r="A10" s="30"/>
      <c r="B10" s="43"/>
      <c r="C10" s="43"/>
      <c r="D10" s="88"/>
      <c r="E10" s="36" t="s">
        <v>481</v>
      </c>
      <c r="F10" s="88"/>
      <c r="H10" s="12"/>
    </row>
    <row r="11" spans="1:9" ht="21">
      <c r="A11" s="30"/>
      <c r="B11" s="43"/>
      <c r="C11" s="43"/>
      <c r="D11" s="43"/>
      <c r="E11" s="34"/>
      <c r="F11" s="43"/>
      <c r="H11" s="12"/>
    </row>
    <row r="12" spans="1:9" ht="21">
      <c r="A12" s="30"/>
      <c r="B12" s="43"/>
      <c r="C12" s="43"/>
      <c r="D12" s="43"/>
      <c r="E12" s="34"/>
      <c r="F12" s="43"/>
      <c r="H12" s="12"/>
    </row>
    <row r="13" spans="1:9" ht="17">
      <c r="B13" s="43"/>
      <c r="C13" s="43"/>
      <c r="D13" s="43"/>
      <c r="E13" s="34"/>
      <c r="F13" s="43"/>
      <c r="H13" s="12"/>
    </row>
    <row r="14" spans="1:9" ht="21">
      <c r="A14" s="30"/>
      <c r="B14" s="43"/>
      <c r="C14" s="43"/>
      <c r="D14" s="43"/>
      <c r="E14" s="13" t="s">
        <v>0</v>
      </c>
      <c r="F14" s="43"/>
      <c r="H14" s="12"/>
    </row>
    <row r="15" spans="1:9" ht="17.5" thickBot="1">
      <c r="A15" s="41" t="s">
        <v>0</v>
      </c>
      <c r="B15" s="41" t="s">
        <v>0</v>
      </c>
      <c r="C15" s="41" t="s">
        <v>0</v>
      </c>
      <c r="D15" s="41"/>
      <c r="E15" s="41"/>
      <c r="F15" s="41"/>
      <c r="H15" s="12"/>
    </row>
    <row r="16" spans="1:9" ht="17.5">
      <c r="A16" s="271"/>
      <c r="B16" s="272"/>
      <c r="C16" s="273"/>
      <c r="D16" s="256" t="s">
        <v>0</v>
      </c>
      <c r="E16" s="257" t="s">
        <v>0</v>
      </c>
      <c r="F16" s="256" t="s">
        <v>0</v>
      </c>
      <c r="H16" s="12"/>
    </row>
    <row r="17" spans="1:10" ht="17.5">
      <c r="A17" s="89" t="s">
        <v>0</v>
      </c>
      <c r="B17" s="90" t="s">
        <v>3</v>
      </c>
      <c r="C17" s="91" t="s">
        <v>5</v>
      </c>
      <c r="D17" s="92" t="s">
        <v>0</v>
      </c>
      <c r="E17" s="258" t="s">
        <v>0</v>
      </c>
      <c r="F17" s="92" t="s">
        <v>302</v>
      </c>
      <c r="H17" s="12"/>
    </row>
    <row r="18" spans="1:10" ht="17.5">
      <c r="A18" s="89"/>
      <c r="B18" s="90" t="s">
        <v>4</v>
      </c>
      <c r="C18" s="91" t="s">
        <v>6</v>
      </c>
      <c r="D18" s="92" t="s">
        <v>311</v>
      </c>
      <c r="E18" s="258" t="s">
        <v>311</v>
      </c>
      <c r="F18" s="92" t="s">
        <v>131</v>
      </c>
      <c r="H18" s="12"/>
    </row>
    <row r="19" spans="1:10" ht="18" thickBot="1">
      <c r="A19" s="96" t="s">
        <v>2</v>
      </c>
      <c r="B19" s="97" t="s">
        <v>0</v>
      </c>
      <c r="C19" s="98" t="s">
        <v>0</v>
      </c>
      <c r="D19" s="313" t="s">
        <v>300</v>
      </c>
      <c r="E19" s="312" t="s">
        <v>60</v>
      </c>
      <c r="F19" s="97" t="s">
        <v>0</v>
      </c>
      <c r="H19" s="12"/>
    </row>
    <row r="20" spans="1:10" ht="17">
      <c r="A20" s="314" t="s">
        <v>7</v>
      </c>
      <c r="B20" s="291" t="s">
        <v>7</v>
      </c>
      <c r="C20" s="315" t="s">
        <v>7</v>
      </c>
      <c r="D20" s="291" t="s">
        <v>7</v>
      </c>
      <c r="E20" s="119" t="s">
        <v>301</v>
      </c>
      <c r="F20" s="102"/>
      <c r="H20" s="12"/>
    </row>
    <row r="21" spans="1:10" ht="17.5">
      <c r="A21" s="89"/>
      <c r="B21" s="90"/>
      <c r="C21" s="91"/>
      <c r="D21" s="90"/>
      <c r="E21" s="259"/>
      <c r="F21" s="90"/>
      <c r="H21" s="12"/>
    </row>
    <row r="22" spans="1:10" ht="17.5">
      <c r="A22" s="104" t="str">
        <f>+'S&amp;D'!A22</f>
        <v>Energy Transfer LP</v>
      </c>
      <c r="B22" s="81" t="str">
        <f>+'S&amp;D'!B22</f>
        <v>ET</v>
      </c>
      <c r="C22" s="91" t="str">
        <f>+'S&amp;D'!C22</f>
        <v>Pipeline MLPs</v>
      </c>
      <c r="D22" s="274">
        <f>+'S&amp;D'!D38</f>
        <v>46471856122.800003</v>
      </c>
      <c r="E22" s="275">
        <v>43939000000</v>
      </c>
      <c r="F22" s="106">
        <f t="shared" ref="F22:F28" si="0">+D22/E22</f>
        <v>1.0576448285759803</v>
      </c>
      <c r="H22" s="12"/>
    </row>
    <row r="23" spans="1:10" ht="17.5">
      <c r="A23" s="104" t="str">
        <f>+'S&amp;D'!A23</f>
        <v>Enterprise Products Partnership LP</v>
      </c>
      <c r="B23" s="81" t="str">
        <f>+'S&amp;D'!B23</f>
        <v>EPD</v>
      </c>
      <c r="C23" s="91" t="str">
        <f>+'S&amp;D'!C23</f>
        <v>Pipeline MLPs</v>
      </c>
      <c r="D23" s="274">
        <f>+'S&amp;D'!D39</f>
        <v>57133262021.300003</v>
      </c>
      <c r="E23" s="275">
        <v>28759000000</v>
      </c>
      <c r="F23" s="106">
        <f t="shared" si="0"/>
        <v>1.9866219973330088</v>
      </c>
      <c r="H23" s="12"/>
    </row>
    <row r="24" spans="1:10" ht="17.5">
      <c r="A24" s="104" t="str">
        <f>+'S&amp;D'!A24</f>
        <v>Hess Midstream LP</v>
      </c>
      <c r="B24" s="81" t="str">
        <f>+'S&amp;D'!B24</f>
        <v>HESM</v>
      </c>
      <c r="C24" s="91" t="str">
        <f>+'S&amp;D'!C24</f>
        <v>Pipeline MLPs</v>
      </c>
      <c r="D24" s="274">
        <f>+'S&amp;D'!D40</f>
        <v>4995687778.8299999</v>
      </c>
      <c r="E24" s="275">
        <v>363200000</v>
      </c>
      <c r="F24" s="106">
        <f t="shared" si="0"/>
        <v>13.754646968144273</v>
      </c>
      <c r="H24" s="12"/>
    </row>
    <row r="25" spans="1:10" ht="17.5">
      <c r="A25" s="104" t="str">
        <f>+'S&amp;D'!A25</f>
        <v>MPLX, LP</v>
      </c>
      <c r="B25" s="81" t="str">
        <f>+'S&amp;D'!B25</f>
        <v>MPLX</v>
      </c>
      <c r="C25" s="91" t="str">
        <f>+'S&amp;D'!C25</f>
        <v>Pipeline MLPs</v>
      </c>
      <c r="D25" s="274">
        <f>+'S&amp;D'!D41</f>
        <v>37113537566.879997</v>
      </c>
      <c r="E25" s="275">
        <v>12689000000</v>
      </c>
      <c r="F25" s="106">
        <f t="shared" si="0"/>
        <v>2.9248591352257858</v>
      </c>
      <c r="H25" s="12"/>
    </row>
    <row r="26" spans="1:10" ht="17.5">
      <c r="A26" s="104" t="str">
        <f>+'S&amp;D'!A26</f>
        <v>NuStar Energy LP</v>
      </c>
      <c r="B26" s="81" t="str">
        <f>+'S&amp;D'!B26</f>
        <v>NS</v>
      </c>
      <c r="C26" s="91" t="str">
        <f>+'S&amp;D'!C26</f>
        <v>Pipeline MLPs</v>
      </c>
      <c r="D26" s="274">
        <f>+'S&amp;D'!D42</f>
        <v>2363634105</v>
      </c>
      <c r="E26" s="275">
        <v>1046281000</v>
      </c>
      <c r="F26" s="106">
        <f t="shared" si="0"/>
        <v>2.2590815517055169</v>
      </c>
      <c r="H26" s="12"/>
    </row>
    <row r="27" spans="1:10" ht="17.5">
      <c r="A27" s="104" t="str">
        <f>+'S&amp;D'!A27</f>
        <v>Plains All American Pipeline LP</v>
      </c>
      <c r="B27" s="81" t="str">
        <f>+'S&amp;D'!B27</f>
        <v>PAA</v>
      </c>
      <c r="C27" s="91" t="str">
        <f>+'S&amp;D'!C27</f>
        <v>Pipeline MLPs</v>
      </c>
      <c r="D27" s="274">
        <f>+'S&amp;D'!D43</f>
        <v>10621226119.65</v>
      </c>
      <c r="E27" s="275">
        <v>718563000</v>
      </c>
      <c r="F27" s="106">
        <f t="shared" si="0"/>
        <v>14.781203763135592</v>
      </c>
      <c r="H27" s="12"/>
    </row>
    <row r="28" spans="1:10" ht="18" thickBot="1">
      <c r="A28" s="319" t="str">
        <f>+'S&amp;D'!A28</f>
        <v>Western Midstream Partners LP</v>
      </c>
      <c r="B28" s="82" t="str">
        <f>+'S&amp;D'!B28</f>
        <v>WES</v>
      </c>
      <c r="C28" s="98" t="str">
        <f>+'S&amp;D'!C28</f>
        <v>Pipeline MLPs</v>
      </c>
      <c r="D28" s="320">
        <f>+'S&amp;D'!D44</f>
        <v>11104754702.58</v>
      </c>
      <c r="E28" s="275">
        <v>3029130000</v>
      </c>
      <c r="F28" s="106">
        <f t="shared" si="0"/>
        <v>3.6659881558665357</v>
      </c>
      <c r="H28" s="12"/>
      <c r="J28" s="10" t="s">
        <v>0</v>
      </c>
    </row>
    <row r="29" spans="1:10" ht="27" customHeight="1" thickBot="1">
      <c r="A29" s="124"/>
      <c r="B29" s="110"/>
      <c r="C29" s="110"/>
      <c r="D29" s="125"/>
      <c r="E29" s="318" t="s">
        <v>309</v>
      </c>
      <c r="F29" s="217">
        <f>AVERAGE(F22:F28)</f>
        <v>5.7757209142838137</v>
      </c>
      <c r="H29" s="12"/>
    </row>
    <row r="30" spans="1:10" ht="17.5">
      <c r="A30" s="108"/>
      <c r="B30" s="108"/>
      <c r="C30" s="108"/>
      <c r="D30" s="108"/>
      <c r="E30" s="268"/>
      <c r="F30" s="270"/>
      <c r="H30" s="12"/>
    </row>
    <row r="31" spans="1:10" ht="17.5">
      <c r="A31" s="108"/>
      <c r="B31" s="108"/>
      <c r="C31" s="108"/>
      <c r="D31" s="108"/>
      <c r="E31" s="268"/>
      <c r="F31" s="270"/>
      <c r="H31" s="12"/>
    </row>
    <row r="32" spans="1:10" ht="17.5">
      <c r="A32" s="108"/>
      <c r="B32" s="108"/>
      <c r="C32" s="108"/>
      <c r="D32" s="108"/>
      <c r="E32" s="268"/>
      <c r="F32" s="270"/>
      <c r="H32" s="12"/>
    </row>
    <row r="33" spans="1:8" ht="18" thickBot="1">
      <c r="A33" s="108"/>
      <c r="B33" s="108"/>
      <c r="C33" s="108"/>
      <c r="D33" s="108"/>
      <c r="E33" s="108"/>
      <c r="F33" s="108"/>
      <c r="H33" s="12"/>
    </row>
    <row r="34" spans="1:8" ht="17.5">
      <c r="A34" s="271"/>
      <c r="B34" s="272"/>
      <c r="C34" s="273"/>
      <c r="D34" s="256" t="s">
        <v>0</v>
      </c>
      <c r="E34" s="257" t="s">
        <v>0</v>
      </c>
      <c r="F34" s="256" t="s">
        <v>0</v>
      </c>
      <c r="H34" s="12"/>
    </row>
    <row r="35" spans="1:8" ht="17.5">
      <c r="A35" s="89" t="s">
        <v>0</v>
      </c>
      <c r="B35" s="90" t="s">
        <v>3</v>
      </c>
      <c r="C35" s="91" t="s">
        <v>5</v>
      </c>
      <c r="D35" s="92" t="s">
        <v>0</v>
      </c>
      <c r="E35" s="258" t="s">
        <v>0</v>
      </c>
      <c r="F35" s="92" t="s">
        <v>302</v>
      </c>
      <c r="H35" s="12"/>
    </row>
    <row r="36" spans="1:8" ht="17.5">
      <c r="A36" s="89"/>
      <c r="B36" s="90" t="s">
        <v>4</v>
      </c>
      <c r="C36" s="91" t="s">
        <v>6</v>
      </c>
      <c r="D36" s="92" t="s">
        <v>303</v>
      </c>
      <c r="E36" s="258" t="s">
        <v>303</v>
      </c>
      <c r="F36" s="92" t="s">
        <v>131</v>
      </c>
    </row>
    <row r="37" spans="1:8" ht="18" thickBot="1">
      <c r="A37" s="96" t="s">
        <v>2</v>
      </c>
      <c r="B37" s="97" t="s">
        <v>0</v>
      </c>
      <c r="C37" s="98" t="s">
        <v>0</v>
      </c>
      <c r="D37" s="313" t="s">
        <v>300</v>
      </c>
      <c r="E37" s="312" t="s">
        <v>60</v>
      </c>
      <c r="F37" s="97" t="s">
        <v>0</v>
      </c>
    </row>
    <row r="38" spans="1:8" ht="16">
      <c r="A38" s="314" t="s">
        <v>7</v>
      </c>
      <c r="B38" s="291" t="s">
        <v>7</v>
      </c>
      <c r="C38" s="315" t="s">
        <v>7</v>
      </c>
      <c r="D38" s="291" t="s">
        <v>301</v>
      </c>
      <c r="E38" s="119" t="s">
        <v>301</v>
      </c>
      <c r="F38" s="102"/>
    </row>
    <row r="39" spans="1:8" ht="17.5">
      <c r="A39" s="89"/>
      <c r="B39" s="90"/>
      <c r="C39" s="91"/>
      <c r="D39" s="90"/>
      <c r="E39" s="259"/>
      <c r="F39" s="90"/>
    </row>
    <row r="40" spans="1:8" ht="17.5">
      <c r="A40" s="104" t="str">
        <f t="shared" ref="A40:C46" si="1">+A22</f>
        <v>Energy Transfer LP</v>
      </c>
      <c r="B40" s="81" t="str">
        <f t="shared" si="1"/>
        <v>ET</v>
      </c>
      <c r="C40" s="91" t="str">
        <f t="shared" si="1"/>
        <v>Pipeline MLPs</v>
      </c>
      <c r="D40" s="274">
        <f>+'S&amp;D'!G38</f>
        <v>51928017560.603172</v>
      </c>
      <c r="E40" s="275">
        <f>+'S&amp;D'!J22</f>
        <v>52388000000</v>
      </c>
      <c r="F40" s="106">
        <f t="shared" ref="F40:F42" si="2">+D40/E40</f>
        <v>0.99121969841572821</v>
      </c>
    </row>
    <row r="41" spans="1:8" ht="17.5">
      <c r="A41" s="104" t="str">
        <f t="shared" si="1"/>
        <v>Enterprise Products Partnership LP</v>
      </c>
      <c r="B41" s="81" t="str">
        <f t="shared" si="1"/>
        <v>EPD</v>
      </c>
      <c r="C41" s="91" t="str">
        <f t="shared" si="1"/>
        <v>Pipeline MLPs</v>
      </c>
      <c r="D41" s="274">
        <f>+'S&amp;D'!G39</f>
        <v>26700000000</v>
      </c>
      <c r="E41" s="275">
        <f>+'S&amp;D'!J23</f>
        <v>28748000000</v>
      </c>
      <c r="F41" s="106">
        <f t="shared" si="2"/>
        <v>0.92876026158341451</v>
      </c>
    </row>
    <row r="42" spans="1:8" ht="17.5">
      <c r="A42" s="104" t="str">
        <f t="shared" si="1"/>
        <v>Hess Midstream LP</v>
      </c>
      <c r="B42" s="81" t="str">
        <f t="shared" si="1"/>
        <v>HESM</v>
      </c>
      <c r="C42" s="91" t="str">
        <f t="shared" si="1"/>
        <v>Pipeline MLPs</v>
      </c>
      <c r="D42" s="274">
        <f>+'S&amp;D'!G40</f>
        <v>3143300000</v>
      </c>
      <c r="E42" s="275">
        <f>+'S&amp;D'!J24</f>
        <v>3211400000</v>
      </c>
      <c r="F42" s="106">
        <f t="shared" si="2"/>
        <v>0.97879429532291218</v>
      </c>
    </row>
    <row r="43" spans="1:8" ht="17.5">
      <c r="A43" s="104" t="str">
        <f t="shared" si="1"/>
        <v>MPLX, LP</v>
      </c>
      <c r="B43" s="81" t="str">
        <f t="shared" si="1"/>
        <v>MPLX</v>
      </c>
      <c r="C43" s="91" t="str">
        <f t="shared" si="1"/>
        <v>Pipeline MLPs</v>
      </c>
      <c r="D43" s="274">
        <f>+'S&amp;D'!G41</f>
        <v>19377000000</v>
      </c>
      <c r="E43" s="275">
        <f>+'S&amp;D'!J25</f>
        <v>20431000000</v>
      </c>
      <c r="F43" s="106">
        <f>+D43/E43</f>
        <v>0.94841172727717682</v>
      </c>
    </row>
    <row r="44" spans="1:8" ht="17.5">
      <c r="A44" s="104" t="str">
        <f t="shared" si="1"/>
        <v>NuStar Energy LP</v>
      </c>
      <c r="B44" s="81" t="str">
        <f t="shared" si="1"/>
        <v>NS</v>
      </c>
      <c r="C44" s="91" t="str">
        <f t="shared" si="1"/>
        <v>Pipeline MLPs</v>
      </c>
      <c r="D44" s="274">
        <f>+'S&amp;D'!G42</f>
        <v>3426307000</v>
      </c>
      <c r="E44" s="275">
        <f>+'S&amp;D'!J26</f>
        <v>3420240000</v>
      </c>
      <c r="F44" s="106">
        <f t="shared" ref="F44:F46" si="3">+D44/E44</f>
        <v>1.0017738521273361</v>
      </c>
    </row>
    <row r="45" spans="1:8" ht="17.5">
      <c r="A45" s="104" t="str">
        <f t="shared" si="1"/>
        <v>Plains All American Pipeline LP</v>
      </c>
      <c r="B45" s="81" t="str">
        <f t="shared" si="1"/>
        <v>PAA</v>
      </c>
      <c r="C45" s="91" t="str">
        <f t="shared" si="1"/>
        <v>Pipeline MLPs</v>
      </c>
      <c r="D45" s="274">
        <f>+'S&amp;D'!G43</f>
        <v>7163712328.7671242</v>
      </c>
      <c r="E45" s="275">
        <f>+'S&amp;D'!J27</f>
        <v>7579000000</v>
      </c>
      <c r="F45" s="106">
        <f t="shared" si="3"/>
        <v>0.94520547945205491</v>
      </c>
    </row>
    <row r="46" spans="1:8" ht="18" thickBot="1">
      <c r="A46" s="319" t="str">
        <f t="shared" si="1"/>
        <v>Western Midstream Partners LP</v>
      </c>
      <c r="B46" s="82" t="str">
        <f t="shared" si="1"/>
        <v>WES</v>
      </c>
      <c r="C46" s="98" t="str">
        <f t="shared" si="1"/>
        <v>Pipeline MLPs</v>
      </c>
      <c r="D46" s="320">
        <f>+'S&amp;D'!G44</f>
        <v>7011688000</v>
      </c>
      <c r="E46" s="275">
        <f>+'S&amp;D'!J28</f>
        <v>7283556000</v>
      </c>
      <c r="F46" s="106">
        <f t="shared" si="3"/>
        <v>0.96267372695425146</v>
      </c>
    </row>
    <row r="47" spans="1:8" ht="27.75" customHeight="1" thickBot="1">
      <c r="A47" s="316"/>
      <c r="B47" s="159"/>
      <c r="C47" s="159"/>
      <c r="D47" s="317"/>
      <c r="E47" s="318" t="s">
        <v>309</v>
      </c>
      <c r="F47" s="217">
        <f>AVERAGE(F40:F46)</f>
        <v>0.96526272016183901</v>
      </c>
    </row>
    <row r="52" spans="1:6">
      <c r="C52" s="260" t="s">
        <v>304</v>
      </c>
      <c r="D52" s="260" t="s">
        <v>305</v>
      </c>
      <c r="E52" s="260"/>
    </row>
    <row r="53" spans="1:6">
      <c r="A53" s="262"/>
      <c r="B53" s="262"/>
      <c r="C53" s="261" t="s">
        <v>35</v>
      </c>
      <c r="D53" s="261" t="s">
        <v>306</v>
      </c>
      <c r="E53" s="261" t="s">
        <v>307</v>
      </c>
    </row>
    <row r="54" spans="1:6" ht="17.5">
      <c r="A54" s="91" t="s">
        <v>39</v>
      </c>
      <c r="B54" s="146" t="s">
        <v>0</v>
      </c>
      <c r="C54" s="146">
        <f>+'Yield CapRate'!C23</f>
        <v>0.52</v>
      </c>
      <c r="D54" s="266">
        <f>+F29</f>
        <v>5.7757209142838137</v>
      </c>
      <c r="E54" s="267">
        <f>+C54*D54</f>
        <v>3.0033748754275833</v>
      </c>
      <c r="F54" s="147" t="s">
        <v>0</v>
      </c>
    </row>
    <row r="55" spans="1:6" ht="17.5">
      <c r="A55" s="263" t="s">
        <v>41</v>
      </c>
      <c r="B55" s="264" t="str">
        <f>'S&amp;D'!I35</f>
        <v xml:space="preserve"> </v>
      </c>
      <c r="C55" s="264">
        <f>+'Yield CapRate'!C25</f>
        <v>0.48</v>
      </c>
      <c r="D55" s="265">
        <f>+F47</f>
        <v>0.96526272016183901</v>
      </c>
      <c r="E55" s="265">
        <f>+C55*D55</f>
        <v>0.46332610567768273</v>
      </c>
      <c r="F55" s="147" t="s">
        <v>0</v>
      </c>
    </row>
    <row r="56" spans="1:6">
      <c r="D56" s="268" t="s">
        <v>308</v>
      </c>
      <c r="E56" s="269">
        <f>+E54+E55</f>
        <v>3.4667009811052658</v>
      </c>
    </row>
    <row r="59" spans="1:6" ht="21">
      <c r="A59" s="30" t="s">
        <v>443</v>
      </c>
    </row>
    <row r="60" spans="1:6" ht="19.5" customHeight="1">
      <c r="A60" s="30" t="s">
        <v>422</v>
      </c>
    </row>
  </sheetData>
  <pageMargins left="0.25" right="0.25" top="0.75" bottom="0.75" header="0.3" footer="0.3"/>
  <pageSetup scale="46" orientation="landscape" r:id="rId1"/>
  <rowBreaks count="1" manualBreakCount="1">
    <brk id="33"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5"/>
  <sheetViews>
    <sheetView view="pageBreakPreview" zoomScale="70" zoomScaleNormal="80" zoomScaleSheetLayoutView="70" workbookViewId="0">
      <selection activeCell="L34" sqref="L34"/>
    </sheetView>
  </sheetViews>
  <sheetFormatPr defaultRowHeight="14.5"/>
  <cols>
    <col min="1" max="1" width="41" customWidth="1"/>
    <col min="2" max="2" width="10.81640625" bestFit="1" customWidth="1"/>
    <col min="3" max="3" width="10.7265625" customWidth="1"/>
    <col min="4" max="4" width="28.54296875" customWidth="1"/>
    <col min="5" max="5" width="22.26953125" customWidth="1"/>
    <col min="6" max="6" width="26.54296875" customWidth="1"/>
    <col min="7" max="7" width="26.453125" customWidth="1"/>
    <col min="8" max="8" width="23.81640625" customWidth="1"/>
    <col min="9" max="9" width="15" customWidth="1"/>
    <col min="10" max="10" width="14.1796875" bestFit="1" customWidth="1"/>
    <col min="11" max="11" width="16.7265625" customWidth="1"/>
    <col min="12" max="12" width="23.1796875" customWidth="1"/>
  </cols>
  <sheetData>
    <row r="1" spans="1:12" ht="25.5">
      <c r="A1" s="23" t="s">
        <v>1</v>
      </c>
      <c r="B1" s="12"/>
      <c r="C1" s="12"/>
      <c r="D1" s="12"/>
      <c r="E1" s="12"/>
      <c r="F1" s="12"/>
      <c r="G1" s="12"/>
      <c r="H1" s="12"/>
      <c r="I1" s="12"/>
      <c r="J1" s="12"/>
      <c r="K1" s="12"/>
      <c r="L1" s="12"/>
    </row>
    <row r="2" spans="1:12" ht="17.5">
      <c r="A2" s="24" t="s">
        <v>9</v>
      </c>
      <c r="B2" s="12"/>
      <c r="C2" s="12"/>
      <c r="D2" s="12"/>
      <c r="E2" s="12"/>
      <c r="F2" s="12"/>
      <c r="G2" s="12"/>
      <c r="H2" s="12"/>
      <c r="I2" s="12"/>
      <c r="J2" s="12"/>
      <c r="K2" s="12"/>
      <c r="L2" s="12"/>
    </row>
    <row r="3" spans="1:12" ht="17">
      <c r="A3" s="25" t="s">
        <v>480</v>
      </c>
      <c r="B3" s="12"/>
      <c r="C3" s="12"/>
      <c r="D3" s="12"/>
      <c r="E3" s="12"/>
      <c r="F3" s="12"/>
      <c r="G3" s="12"/>
      <c r="H3" s="12"/>
      <c r="I3" s="12"/>
      <c r="J3" s="12"/>
      <c r="K3" s="12"/>
      <c r="L3" s="12"/>
    </row>
    <row r="4" spans="1:12" ht="17">
      <c r="A4" s="25"/>
      <c r="B4" s="12"/>
      <c r="C4" s="12"/>
      <c r="D4" s="12"/>
      <c r="E4" s="12"/>
      <c r="F4" s="12"/>
      <c r="G4" s="12"/>
      <c r="H4" s="12"/>
      <c r="I4" s="12"/>
      <c r="J4" s="12"/>
      <c r="K4" s="12"/>
      <c r="L4" s="12"/>
    </row>
    <row r="5" spans="1:12" ht="17">
      <c r="A5" s="25"/>
      <c r="B5" s="12"/>
      <c r="C5" s="12"/>
      <c r="D5" s="12"/>
      <c r="E5" s="12"/>
      <c r="F5" s="12"/>
      <c r="G5" s="12"/>
      <c r="H5" s="12"/>
      <c r="I5" s="12"/>
      <c r="J5" s="12"/>
      <c r="K5" s="12"/>
      <c r="L5" s="12"/>
    </row>
    <row r="6" spans="1:12" ht="17">
      <c r="A6" s="25"/>
      <c r="B6" s="12"/>
      <c r="C6" s="12"/>
      <c r="D6" s="12"/>
      <c r="E6" s="12"/>
      <c r="F6" s="12"/>
      <c r="G6" s="12"/>
      <c r="H6" s="12"/>
      <c r="I6" s="12"/>
      <c r="J6" s="12"/>
      <c r="K6" s="12"/>
      <c r="L6" s="12"/>
    </row>
    <row r="7" spans="1:12" ht="17.5" thickBot="1">
      <c r="A7" s="12"/>
      <c r="B7" s="12"/>
      <c r="C7" s="12"/>
      <c r="D7" s="12"/>
      <c r="E7" s="12"/>
      <c r="F7" s="28"/>
      <c r="G7" s="28"/>
      <c r="H7" s="29" t="s">
        <v>0</v>
      </c>
      <c r="I7" s="12"/>
      <c r="J7" s="12"/>
      <c r="K7" s="12"/>
      <c r="L7" s="12"/>
    </row>
    <row r="8" spans="1:12" ht="26" thickBot="1">
      <c r="A8" s="282" t="str">
        <f>+'S&amp;D'!A12</f>
        <v>Liquid Transportation Pipeline Carriers</v>
      </c>
      <c r="B8" s="283"/>
      <c r="C8" s="208"/>
      <c r="D8" s="12"/>
      <c r="E8" s="12"/>
      <c r="F8" s="12"/>
      <c r="G8" s="31" t="s">
        <v>77</v>
      </c>
      <c r="H8" s="12"/>
      <c r="I8" s="12"/>
      <c r="J8" s="12"/>
      <c r="K8" s="12"/>
      <c r="L8" s="12"/>
    </row>
    <row r="9" spans="1:12" ht="21">
      <c r="A9" s="30"/>
      <c r="B9" s="12"/>
      <c r="C9" s="12"/>
      <c r="D9" s="12"/>
      <c r="E9" s="12"/>
      <c r="F9" s="12"/>
      <c r="G9" s="91" t="s">
        <v>78</v>
      </c>
      <c r="H9" s="12"/>
      <c r="I9" s="12"/>
      <c r="J9" s="12"/>
      <c r="K9" s="12"/>
      <c r="L9" s="12"/>
    </row>
    <row r="10" spans="1:12" ht="18" customHeight="1" thickBot="1">
      <c r="A10" s="40" t="s">
        <v>0</v>
      </c>
      <c r="B10" s="40" t="s">
        <v>0</v>
      </c>
      <c r="C10" s="40" t="s">
        <v>0</v>
      </c>
      <c r="D10" s="12"/>
      <c r="E10" s="12"/>
      <c r="F10" s="33" t="s">
        <v>0</v>
      </c>
      <c r="G10" s="36" t="s">
        <v>481</v>
      </c>
      <c r="H10" s="33" t="s">
        <v>0</v>
      </c>
      <c r="I10" s="40" t="s">
        <v>0</v>
      </c>
      <c r="J10" s="12"/>
      <c r="K10" s="12"/>
      <c r="L10" s="12"/>
    </row>
    <row r="11" spans="1:12" ht="18" customHeight="1">
      <c r="A11" s="40"/>
      <c r="B11" s="40"/>
      <c r="C11" s="40"/>
      <c r="D11" s="12"/>
      <c r="E11" s="12"/>
      <c r="J11" s="12"/>
      <c r="K11" s="12"/>
      <c r="L11" s="12"/>
    </row>
    <row r="12" spans="1:12" ht="18" customHeight="1">
      <c r="A12" s="40"/>
      <c r="B12" s="40"/>
      <c r="C12" s="40"/>
      <c r="D12" s="12" t="s">
        <v>0</v>
      </c>
      <c r="E12" s="12" t="s">
        <v>0</v>
      </c>
      <c r="G12" s="13" t="s">
        <v>0</v>
      </c>
      <c r="J12" s="12"/>
      <c r="K12" s="12"/>
      <c r="L12" s="12" t="s">
        <v>0</v>
      </c>
    </row>
    <row r="13" spans="1:12" ht="17.5" thickBot="1">
      <c r="A13" s="33"/>
      <c r="B13" s="33"/>
      <c r="C13" s="33"/>
      <c r="D13" s="33"/>
      <c r="E13" s="36"/>
      <c r="F13" s="33"/>
      <c r="G13" s="33"/>
      <c r="H13" s="33"/>
      <c r="I13" s="33"/>
      <c r="J13" s="28"/>
      <c r="K13" s="28"/>
      <c r="L13" s="28"/>
    </row>
    <row r="14" spans="1:12" ht="15" customHeight="1" thickBot="1">
      <c r="A14" s="33" t="s">
        <v>24</v>
      </c>
      <c r="B14" s="33" t="s">
        <v>90</v>
      </c>
      <c r="C14" s="33" t="s">
        <v>91</v>
      </c>
      <c r="D14" s="41" t="s">
        <v>92</v>
      </c>
      <c r="E14" s="33" t="s">
        <v>93</v>
      </c>
      <c r="F14" s="33" t="s">
        <v>94</v>
      </c>
      <c r="G14" s="33" t="s">
        <v>95</v>
      </c>
      <c r="H14" s="33" t="s">
        <v>96</v>
      </c>
      <c r="I14" s="33" t="s">
        <v>97</v>
      </c>
      <c r="J14" s="33" t="s">
        <v>98</v>
      </c>
      <c r="K14" s="33" t="s">
        <v>99</v>
      </c>
      <c r="L14" s="33" t="s">
        <v>107</v>
      </c>
    </row>
    <row r="15" spans="1:12" ht="17">
      <c r="A15" s="34" t="s">
        <v>0</v>
      </c>
      <c r="B15" s="34" t="s">
        <v>3</v>
      </c>
      <c r="C15" s="34" t="s">
        <v>79</v>
      </c>
      <c r="D15" s="34" t="s">
        <v>82</v>
      </c>
      <c r="E15" s="34" t="s">
        <v>82</v>
      </c>
      <c r="F15" s="34" t="s">
        <v>83</v>
      </c>
      <c r="G15" s="34" t="s">
        <v>86</v>
      </c>
      <c r="H15" s="34" t="s">
        <v>88</v>
      </c>
      <c r="I15" s="34" t="s">
        <v>110</v>
      </c>
      <c r="J15" s="34" t="s">
        <v>110</v>
      </c>
      <c r="K15" s="34" t="s">
        <v>103</v>
      </c>
      <c r="L15" s="34" t="s">
        <v>105</v>
      </c>
    </row>
    <row r="16" spans="1:12" ht="17.5" thickBot="1">
      <c r="A16" s="36" t="s">
        <v>2</v>
      </c>
      <c r="B16" s="36" t="s">
        <v>4</v>
      </c>
      <c r="C16" s="36" t="s">
        <v>80</v>
      </c>
      <c r="D16" s="36" t="s">
        <v>85</v>
      </c>
      <c r="E16" s="36" t="s">
        <v>84</v>
      </c>
      <c r="F16" s="36" t="s">
        <v>19</v>
      </c>
      <c r="G16" s="36" t="s">
        <v>87</v>
      </c>
      <c r="H16" s="36" t="s">
        <v>89</v>
      </c>
      <c r="I16" s="36" t="s">
        <v>0</v>
      </c>
      <c r="J16" s="36" t="s">
        <v>0</v>
      </c>
      <c r="K16" s="36" t="s">
        <v>104</v>
      </c>
      <c r="L16" s="36" t="s">
        <v>86</v>
      </c>
    </row>
    <row r="17" spans="1:12" ht="16">
      <c r="A17" s="42" t="s">
        <v>7</v>
      </c>
      <c r="B17" s="42" t="s">
        <v>7</v>
      </c>
      <c r="C17" s="42" t="s">
        <v>81</v>
      </c>
      <c r="D17" s="42" t="s">
        <v>248</v>
      </c>
      <c r="E17" s="42" t="s">
        <v>248</v>
      </c>
      <c r="F17" s="42" t="s">
        <v>108</v>
      </c>
      <c r="G17" s="42" t="s">
        <v>247</v>
      </c>
      <c r="H17" s="42" t="s">
        <v>100</v>
      </c>
      <c r="I17" s="42" t="s">
        <v>101</v>
      </c>
      <c r="J17" s="42" t="s">
        <v>102</v>
      </c>
      <c r="K17" s="42" t="s">
        <v>109</v>
      </c>
      <c r="L17" s="42" t="s">
        <v>106</v>
      </c>
    </row>
    <row r="18" spans="1:12" ht="17">
      <c r="A18" s="34"/>
      <c r="B18" s="34"/>
      <c r="C18" s="34"/>
      <c r="D18" s="34"/>
      <c r="E18" s="34"/>
      <c r="F18" s="34"/>
      <c r="G18" s="34"/>
      <c r="H18" s="34"/>
      <c r="I18" s="34"/>
      <c r="J18" s="34"/>
      <c r="K18" s="34"/>
      <c r="L18" s="34"/>
    </row>
    <row r="19" spans="1:12" ht="17">
      <c r="A19" s="12"/>
      <c r="B19" s="12"/>
      <c r="C19" s="12"/>
      <c r="D19" s="12"/>
      <c r="E19" s="12"/>
      <c r="F19" s="12"/>
      <c r="G19" s="12"/>
      <c r="H19" s="12"/>
      <c r="I19" s="12"/>
      <c r="J19" s="12"/>
      <c r="K19" s="12"/>
      <c r="L19" s="12"/>
    </row>
    <row r="20" spans="1:12" ht="22.5" customHeight="1">
      <c r="A20" s="62" t="str">
        <f>+'S&amp;D'!A22</f>
        <v>Energy Transfer LP</v>
      </c>
      <c r="B20" s="91" t="str">
        <f>+'S&amp;D'!B22</f>
        <v>ET</v>
      </c>
      <c r="C20" s="65">
        <f>+'Growth &amp; Inflation Rates'!D93</f>
        <v>2.2200000000000001E-2</v>
      </c>
      <c r="D20" s="321">
        <v>114932000000</v>
      </c>
      <c r="E20" s="142">
        <v>105996000000</v>
      </c>
      <c r="F20" s="142">
        <f t="shared" ref="F20:F22" si="0">(D20+E20)/2</f>
        <v>110464000000</v>
      </c>
      <c r="G20" s="142">
        <v>4385000000</v>
      </c>
      <c r="H20" s="18">
        <f t="shared" ref="H20:H22" si="1">+F20/G20</f>
        <v>25.191334093500569</v>
      </c>
      <c r="I20" s="44">
        <f t="shared" ref="I20:I22" si="2">+C20*H20</f>
        <v>0.55924761687571267</v>
      </c>
      <c r="J20" s="45">
        <f t="shared" ref="J20:J22" si="3">1/(1+C20)^H20</f>
        <v>0.57514658599330637</v>
      </c>
      <c r="K20" s="143">
        <f t="shared" ref="K20:K22" si="4">(G20*I20)/(1-J20)</f>
        <v>5772110377.7251596</v>
      </c>
      <c r="L20" s="144">
        <f t="shared" ref="L20:L22" si="5">+K20/G20</f>
        <v>1.3163307588882918</v>
      </c>
    </row>
    <row r="21" spans="1:12" ht="22.5" customHeight="1">
      <c r="A21" s="62" t="str">
        <f>+'S&amp;D'!A23</f>
        <v>Enterprise Products Partnership LP</v>
      </c>
      <c r="B21" s="91" t="str">
        <f>+'S&amp;D'!B23</f>
        <v>EPD</v>
      </c>
      <c r="C21" s="65">
        <f>+'Growth &amp; Inflation Rates'!D93</f>
        <v>2.2200000000000001E-2</v>
      </c>
      <c r="D21" s="321">
        <v>66217000000</v>
      </c>
      <c r="E21" s="142">
        <v>63122000000</v>
      </c>
      <c r="F21" s="142">
        <f t="shared" si="0"/>
        <v>64669500000</v>
      </c>
      <c r="G21" s="142">
        <v>2279000000</v>
      </c>
      <c r="H21" s="18">
        <f t="shared" si="1"/>
        <v>28.376261518209741</v>
      </c>
      <c r="I21" s="44">
        <f t="shared" si="2"/>
        <v>0.62995300570425627</v>
      </c>
      <c r="J21" s="45">
        <f t="shared" si="3"/>
        <v>0.53629959778191516</v>
      </c>
      <c r="K21" s="143">
        <f t="shared" si="4"/>
        <v>3096100182.6450596</v>
      </c>
      <c r="L21" s="144">
        <f t="shared" si="5"/>
        <v>1.3585345250746204</v>
      </c>
    </row>
    <row r="22" spans="1:12" ht="22.5" customHeight="1">
      <c r="A22" s="62" t="str">
        <f>+'S&amp;D'!A24</f>
        <v>Hess Midstream LP</v>
      </c>
      <c r="B22" s="91" t="str">
        <f>+'S&amp;D'!B24</f>
        <v>HESM</v>
      </c>
      <c r="C22" s="65">
        <f>+'Growth &amp; Inflation Rates'!D93</f>
        <v>2.2200000000000001E-2</v>
      </c>
      <c r="D22" s="321">
        <v>4818700000</v>
      </c>
      <c r="E22" s="142">
        <v>4341400000</v>
      </c>
      <c r="F22" s="142">
        <f t="shared" si="0"/>
        <v>4580050000</v>
      </c>
      <c r="G22" s="142">
        <v>192500000</v>
      </c>
      <c r="H22" s="18">
        <f t="shared" si="1"/>
        <v>23.792467532467533</v>
      </c>
      <c r="I22" s="44">
        <f t="shared" si="2"/>
        <v>0.52819277922077923</v>
      </c>
      <c r="J22" s="45">
        <f t="shared" si="3"/>
        <v>0.59308639966657661</v>
      </c>
      <c r="K22" s="143">
        <f t="shared" si="4"/>
        <v>249873953.38147011</v>
      </c>
      <c r="L22" s="144">
        <f t="shared" si="5"/>
        <v>1.2980465110725721</v>
      </c>
    </row>
    <row r="23" spans="1:12" ht="22.5" customHeight="1">
      <c r="A23" s="62" t="str">
        <f>+'S&amp;D'!A25</f>
        <v>MPLX, LP</v>
      </c>
      <c r="B23" s="91" t="str">
        <f>+'S&amp;D'!B25</f>
        <v>MPLX</v>
      </c>
      <c r="C23" s="65">
        <f>+'Growth &amp; Inflation Rates'!D93</f>
        <v>2.2200000000000001E-2</v>
      </c>
      <c r="D23" s="321">
        <v>27385000000</v>
      </c>
      <c r="E23" s="142">
        <v>26546000000</v>
      </c>
      <c r="F23" s="142">
        <f t="shared" ref="F23:F26" si="6">(D23+E23)/2</f>
        <v>26965500000</v>
      </c>
      <c r="G23" s="142">
        <v>1213000000</v>
      </c>
      <c r="H23" s="18">
        <f>+F23/G23</f>
        <v>22.230420445177245</v>
      </c>
      <c r="I23" s="44">
        <f>+C23*H23</f>
        <v>0.49351533388293484</v>
      </c>
      <c r="J23" s="45">
        <f>1/(1+C23)^H23</f>
        <v>0.61378101839069976</v>
      </c>
      <c r="K23" s="143">
        <f>(G23*I23)/(1-J23)</f>
        <v>1549986221.561682</v>
      </c>
      <c r="L23" s="144">
        <f>+K23/G23</f>
        <v>1.2778122189296637</v>
      </c>
    </row>
    <row r="24" spans="1:12" ht="22.5" customHeight="1">
      <c r="A24" s="62" t="str">
        <f>+'S&amp;D'!A26</f>
        <v>NuStar Energy LP</v>
      </c>
      <c r="B24" s="91" t="str">
        <f>+'S&amp;D'!B26</f>
        <v>NS</v>
      </c>
      <c r="C24" s="65">
        <f>+'Growth &amp; Inflation Rates'!D93</f>
        <v>2.2200000000000001E-2</v>
      </c>
      <c r="D24" s="321">
        <v>5789927000</v>
      </c>
      <c r="E24" s="142">
        <v>5728848000</v>
      </c>
      <c r="F24" s="142">
        <f t="shared" si="6"/>
        <v>5759387500</v>
      </c>
      <c r="G24" s="142">
        <v>250982000</v>
      </c>
      <c r="H24" s="18">
        <f>+F24/G24</f>
        <v>22.947412563450765</v>
      </c>
      <c r="I24" s="44">
        <f>+C24*H24</f>
        <v>0.50943255890860706</v>
      </c>
      <c r="J24" s="45">
        <f>1/(1+C24)^H24</f>
        <v>0.60419385657247215</v>
      </c>
      <c r="K24" s="143">
        <f>(G24*I24)/(1-J24)</f>
        <v>323032890.27501136</v>
      </c>
      <c r="L24" s="144">
        <f>+K24/G24</f>
        <v>1.2870759268593419</v>
      </c>
    </row>
    <row r="25" spans="1:12" ht="22.5" customHeight="1">
      <c r="A25" s="62" t="str">
        <f>+'S&amp;D'!A27</f>
        <v>Plains All American Pipeline LP</v>
      </c>
      <c r="B25" s="91" t="str">
        <f>+'S&amp;D'!B27</f>
        <v>PAA</v>
      </c>
      <c r="C25" s="65">
        <f>+'Growth &amp; Inflation Rates'!D93</f>
        <v>2.2200000000000001E-2</v>
      </c>
      <c r="D25" s="321">
        <v>21143000000</v>
      </c>
      <c r="E25" s="142">
        <v>19257000000</v>
      </c>
      <c r="F25" s="142">
        <f t="shared" si="6"/>
        <v>20200000000</v>
      </c>
      <c r="G25" s="142">
        <v>1048000000</v>
      </c>
      <c r="H25" s="18">
        <f t="shared" ref="H25:H26" si="7">+F25/G25</f>
        <v>19.274809160305342</v>
      </c>
      <c r="I25" s="44">
        <f t="shared" ref="I25:I26" si="8">+C25*H25</f>
        <v>0.42790076335877858</v>
      </c>
      <c r="J25" s="45">
        <f t="shared" ref="J25:J26" si="9">1/(1+C25)^H25</f>
        <v>0.65493439385851993</v>
      </c>
      <c r="K25" s="143">
        <f t="shared" ref="K25:K26" si="10">(G25*I25)/(1-J25)</f>
        <v>1299578955.4758911</v>
      </c>
      <c r="L25" s="144">
        <f t="shared" ref="L25:L26" si="11">+K25/G25</f>
        <v>1.2400562552250869</v>
      </c>
    </row>
    <row r="26" spans="1:12" ht="22.5" customHeight="1">
      <c r="A26" s="62" t="str">
        <f>+'S&amp;D'!A28</f>
        <v>Western Midstream Partners LP</v>
      </c>
      <c r="B26" s="91" t="str">
        <f>+'S&amp;D'!B28</f>
        <v>WES</v>
      </c>
      <c r="C26" s="65">
        <f>+'Growth &amp; Inflation Rates'!D93</f>
        <v>2.2200000000000001E-2</v>
      </c>
      <c r="D26" s="321">
        <v>14945431000</v>
      </c>
      <c r="E26" s="142">
        <v>12846078000</v>
      </c>
      <c r="F26" s="142">
        <f t="shared" si="6"/>
        <v>13895754500</v>
      </c>
      <c r="G26" s="142">
        <v>600668000</v>
      </c>
      <c r="H26" s="18">
        <f t="shared" si="7"/>
        <v>23.133835163517951</v>
      </c>
      <c r="I26" s="44">
        <f t="shared" si="8"/>
        <v>0.51357114063009857</v>
      </c>
      <c r="J26" s="45">
        <f t="shared" si="9"/>
        <v>0.60172575726801147</v>
      </c>
      <c r="K26" s="143">
        <f t="shared" si="10"/>
        <v>774556114.35959709</v>
      </c>
      <c r="L26" s="144">
        <f t="shared" si="11"/>
        <v>1.2894912237036051</v>
      </c>
    </row>
    <row r="27" spans="1:12" ht="22.5" customHeight="1" thickBot="1">
      <c r="A27" s="70"/>
      <c r="B27" s="70"/>
      <c r="C27" s="46"/>
      <c r="D27" s="46"/>
      <c r="E27" s="46"/>
      <c r="F27" s="46"/>
      <c r="G27" s="46" t="s">
        <v>0</v>
      </c>
      <c r="H27" s="46"/>
      <c r="I27" s="46" t="s">
        <v>44</v>
      </c>
      <c r="J27" s="46"/>
      <c r="K27" s="46"/>
      <c r="L27" s="46"/>
    </row>
    <row r="28" spans="1:12" ht="22.5" customHeight="1" thickTop="1">
      <c r="A28" s="12"/>
      <c r="B28" s="12"/>
      <c r="C28" s="47" t="s">
        <v>0</v>
      </c>
      <c r="D28" s="47" t="s">
        <v>0</v>
      </c>
      <c r="E28" s="34" t="s">
        <v>0</v>
      </c>
      <c r="F28" s="34"/>
      <c r="G28" s="47" t="s">
        <v>0</v>
      </c>
      <c r="H28" s="34"/>
      <c r="I28" s="47" t="s">
        <v>0</v>
      </c>
      <c r="J28" s="47" t="s">
        <v>0</v>
      </c>
      <c r="K28" s="14" t="s">
        <v>45</v>
      </c>
      <c r="L28" s="52">
        <f>MAX(L20:L26)</f>
        <v>1.3585345250746204</v>
      </c>
    </row>
    <row r="29" spans="1:12" ht="22.5" customHeight="1">
      <c r="B29" s="12"/>
      <c r="C29" s="47"/>
      <c r="D29" s="47"/>
      <c r="E29" s="34"/>
      <c r="F29" s="34"/>
      <c r="G29" s="47"/>
      <c r="H29" s="34"/>
      <c r="I29" s="47"/>
      <c r="J29" s="47"/>
      <c r="K29" s="373" t="s">
        <v>46</v>
      </c>
      <c r="L29" s="374">
        <f>MIN(L20:L26)</f>
        <v>1.2400562552250869</v>
      </c>
    </row>
    <row r="30" spans="1:12" ht="22.5" customHeight="1">
      <c r="B30" s="12"/>
      <c r="C30" s="12"/>
      <c r="D30" s="12"/>
      <c r="E30" s="12"/>
      <c r="F30" s="12"/>
      <c r="G30" s="12"/>
      <c r="H30" s="12"/>
      <c r="I30" s="12"/>
      <c r="J30" s="12"/>
      <c r="K30" s="14" t="s">
        <v>18</v>
      </c>
      <c r="L30" s="54">
        <f>MEDIAN(L20:L26)</f>
        <v>1.2894912237036051</v>
      </c>
    </row>
    <row r="31" spans="1:12" ht="22.5" customHeight="1">
      <c r="A31" s="12" t="s">
        <v>0</v>
      </c>
      <c r="B31" s="12"/>
      <c r="C31" s="12"/>
      <c r="D31" s="12"/>
      <c r="E31" s="12"/>
      <c r="F31" s="12"/>
      <c r="G31" s="12"/>
      <c r="H31" s="12"/>
      <c r="I31" s="12"/>
      <c r="J31" s="12"/>
      <c r="K31" s="14" t="s">
        <v>440</v>
      </c>
      <c r="L31" s="54">
        <f>AVERAGE(L20:L26)</f>
        <v>1.295335345679026</v>
      </c>
    </row>
    <row r="32" spans="1:12" ht="22.5" customHeight="1" thickBot="1">
      <c r="A32" s="12"/>
      <c r="B32" s="12"/>
      <c r="C32" s="12"/>
      <c r="D32" s="12"/>
      <c r="E32" s="12"/>
      <c r="F32" s="12"/>
      <c r="G32" s="12" t="s">
        <v>0</v>
      </c>
      <c r="H32" s="12"/>
      <c r="I32" s="12"/>
      <c r="J32" s="12"/>
      <c r="K32" s="12"/>
      <c r="L32" s="12"/>
    </row>
    <row r="33" spans="1:12" ht="22.5" customHeight="1" thickBot="1">
      <c r="A33" s="12"/>
      <c r="B33" s="12"/>
      <c r="C33" s="12"/>
      <c r="D33" s="12"/>
      <c r="E33" s="12"/>
      <c r="F33" s="12"/>
      <c r="G33" s="12"/>
      <c r="H33" s="12"/>
      <c r="I33" s="12"/>
      <c r="J33" s="12"/>
      <c r="K33" s="214" t="s">
        <v>212</v>
      </c>
      <c r="L33" s="438">
        <v>1.2952999999999999</v>
      </c>
    </row>
    <row r="34" spans="1:12" ht="17">
      <c r="A34" s="12"/>
      <c r="B34" s="12"/>
      <c r="C34" s="12"/>
      <c r="D34" s="12"/>
      <c r="E34" s="12"/>
      <c r="F34" s="12"/>
      <c r="G34" s="12"/>
      <c r="H34" s="12"/>
      <c r="I34" s="12"/>
      <c r="J34" s="12"/>
      <c r="K34" s="12"/>
      <c r="L34" s="12"/>
    </row>
    <row r="35" spans="1:12" ht="17">
      <c r="A35" s="12"/>
      <c r="B35" s="12"/>
      <c r="C35" s="12"/>
      <c r="D35" s="12"/>
      <c r="E35" s="12"/>
      <c r="F35" s="12"/>
      <c r="G35" s="12"/>
      <c r="H35" s="12"/>
      <c r="I35" s="12"/>
      <c r="J35" s="12"/>
      <c r="K35" s="12"/>
      <c r="L35" s="12"/>
    </row>
    <row r="36" spans="1:12" ht="17">
      <c r="A36" s="12" t="s">
        <v>72</v>
      </c>
      <c r="B36" s="12"/>
      <c r="C36" s="12"/>
      <c r="D36" s="12"/>
      <c r="E36" s="12"/>
      <c r="F36" s="12"/>
      <c r="G36" s="12"/>
      <c r="H36" s="12"/>
      <c r="I36" s="12"/>
      <c r="J36" s="12"/>
      <c r="K36" s="12"/>
      <c r="L36" s="12"/>
    </row>
    <row r="37" spans="1:12" ht="17">
      <c r="A37" s="12" t="s">
        <v>271</v>
      </c>
    </row>
    <row r="38" spans="1:12" ht="17">
      <c r="A38" s="12"/>
    </row>
    <row r="39" spans="1:12" ht="17">
      <c r="A39" s="12" t="s">
        <v>421</v>
      </c>
    </row>
    <row r="40" spans="1:12" ht="21">
      <c r="A40" s="252"/>
      <c r="B40" s="252"/>
      <c r="C40" s="252"/>
      <c r="D40" s="252"/>
      <c r="E40" s="252"/>
      <c r="F40" s="252"/>
      <c r="G40" s="252"/>
      <c r="H40" s="252"/>
      <c r="I40" s="252"/>
      <c r="J40" s="252"/>
      <c r="K40" s="252"/>
      <c r="L40" s="252"/>
    </row>
    <row r="41" spans="1:12" ht="25.5">
      <c r="A41" s="23" t="s">
        <v>1</v>
      </c>
      <c r="B41" s="12"/>
      <c r="C41" s="12"/>
      <c r="D41" s="12"/>
      <c r="E41" s="12"/>
      <c r="F41" s="12"/>
      <c r="G41" s="12"/>
      <c r="H41" s="12"/>
      <c r="I41" s="12"/>
      <c r="J41" s="12"/>
      <c r="K41" s="252"/>
      <c r="L41" s="252"/>
    </row>
    <row r="42" spans="1:12" ht="21">
      <c r="A42" s="24" t="s">
        <v>9</v>
      </c>
      <c r="B42" s="12"/>
      <c r="C42" s="12"/>
      <c r="D42" s="12"/>
      <c r="E42" s="12"/>
      <c r="F42" s="12"/>
      <c r="G42" s="12"/>
      <c r="H42" s="12"/>
      <c r="I42" s="12"/>
      <c r="J42" s="12"/>
      <c r="K42" s="252"/>
      <c r="L42" s="252"/>
    </row>
    <row r="43" spans="1:12" ht="21">
      <c r="A43" s="25" t="s">
        <v>480</v>
      </c>
      <c r="B43" s="12"/>
      <c r="C43" s="12"/>
      <c r="D43" s="12"/>
      <c r="E43" s="12"/>
      <c r="F43" s="12"/>
      <c r="G43" s="12"/>
      <c r="H43" s="12"/>
      <c r="I43" s="12"/>
      <c r="J43" s="12"/>
      <c r="K43" s="252"/>
      <c r="L43" s="252"/>
    </row>
    <row r="44" spans="1:12" ht="21">
      <c r="A44" s="25"/>
      <c r="B44" s="12"/>
      <c r="C44" s="12"/>
      <c r="D44" s="12"/>
      <c r="E44" s="12"/>
      <c r="F44" s="12"/>
      <c r="G44" s="12"/>
      <c r="H44" s="12"/>
      <c r="I44" s="12"/>
      <c r="J44" s="12"/>
      <c r="K44" s="252"/>
      <c r="L44" s="252"/>
    </row>
    <row r="45" spans="1:12" ht="21">
      <c r="A45" s="25"/>
      <c r="B45" s="12"/>
      <c r="C45" s="12"/>
      <c r="D45" s="12"/>
      <c r="E45" s="12"/>
      <c r="F45" s="12"/>
      <c r="G45" s="12"/>
      <c r="H45" s="12"/>
      <c r="I45" s="12"/>
      <c r="J45" s="12"/>
      <c r="K45" s="252"/>
      <c r="L45" s="252"/>
    </row>
    <row r="46" spans="1:12" ht="21">
      <c r="A46" s="25"/>
      <c r="B46" s="12"/>
      <c r="C46" s="12"/>
      <c r="D46" s="12"/>
      <c r="E46" s="12"/>
      <c r="F46" s="12"/>
      <c r="G46" s="12"/>
      <c r="H46" s="12"/>
      <c r="I46" s="12"/>
      <c r="J46" s="12"/>
      <c r="K46" s="252"/>
      <c r="L46" s="252"/>
    </row>
    <row r="47" spans="1:12" ht="21.5" thickBot="1">
      <c r="B47" s="12"/>
      <c r="C47" s="12"/>
      <c r="D47" s="12"/>
      <c r="E47" s="12"/>
      <c r="F47" s="28"/>
      <c r="G47" s="28"/>
      <c r="H47" s="29" t="s">
        <v>0</v>
      </c>
      <c r="I47" s="12"/>
      <c r="J47" s="12"/>
      <c r="K47" s="252"/>
      <c r="L47" s="252"/>
    </row>
    <row r="48" spans="1:12" ht="25.5">
      <c r="B48" s="12"/>
      <c r="C48" s="12"/>
      <c r="D48" s="12"/>
      <c r="E48" s="12"/>
      <c r="F48" s="12"/>
      <c r="G48" s="31" t="s">
        <v>297</v>
      </c>
      <c r="H48" s="12"/>
      <c r="I48" s="12"/>
      <c r="J48" s="12"/>
      <c r="K48" s="252"/>
      <c r="L48" s="252"/>
    </row>
    <row r="49" spans="1:12" ht="21.5" thickBot="1">
      <c r="B49" s="40" t="s">
        <v>0</v>
      </c>
      <c r="C49" s="40" t="s">
        <v>0</v>
      </c>
      <c r="D49" s="12"/>
      <c r="E49" s="12"/>
      <c r="F49" s="33" t="s">
        <v>0</v>
      </c>
      <c r="G49" s="36" t="s">
        <v>481</v>
      </c>
      <c r="H49" s="33" t="s">
        <v>0</v>
      </c>
      <c r="I49" s="40" t="s">
        <v>0</v>
      </c>
      <c r="J49" s="12"/>
      <c r="K49" s="252"/>
      <c r="L49" s="252"/>
    </row>
    <row r="50" spans="1:12" ht="21">
      <c r="A50" s="252"/>
      <c r="B50" s="252"/>
      <c r="C50" s="252"/>
      <c r="D50" s="252"/>
      <c r="E50" s="252"/>
      <c r="F50" s="252"/>
      <c r="G50" s="252"/>
      <c r="H50" s="252"/>
      <c r="I50" s="252"/>
      <c r="J50" s="252"/>
      <c r="K50" s="252"/>
      <c r="L50" s="252"/>
    </row>
    <row r="51" spans="1:12" ht="21">
      <c r="A51" s="252"/>
      <c r="B51" s="252"/>
      <c r="C51" s="252"/>
      <c r="D51" s="252"/>
      <c r="E51" s="252"/>
      <c r="F51" s="252"/>
      <c r="G51" s="252"/>
      <c r="H51" s="252"/>
      <c r="I51" s="252"/>
      <c r="J51" s="252"/>
      <c r="K51" s="252"/>
      <c r="L51" s="252"/>
    </row>
    <row r="52" spans="1:12" ht="21">
      <c r="A52" s="252"/>
      <c r="B52" s="252"/>
      <c r="C52" s="252"/>
      <c r="D52" s="252"/>
      <c r="E52" s="252"/>
      <c r="F52" s="252"/>
      <c r="G52" s="252"/>
      <c r="H52" s="252"/>
      <c r="I52" s="252"/>
      <c r="J52" s="252"/>
      <c r="K52" s="252"/>
      <c r="L52" s="252"/>
    </row>
    <row r="53" spans="1:12" ht="17">
      <c r="A53" s="40"/>
      <c r="B53" s="40"/>
      <c r="C53" s="40"/>
      <c r="D53" s="12"/>
      <c r="E53" s="12"/>
      <c r="J53" s="12"/>
      <c r="K53" s="12"/>
      <c r="L53" s="12"/>
    </row>
    <row r="54" spans="1:12" ht="30">
      <c r="A54" s="246" t="s">
        <v>286</v>
      </c>
      <c r="B54" s="40"/>
      <c r="C54" s="248" t="s">
        <v>291</v>
      </c>
      <c r="D54" s="12"/>
      <c r="E54" s="12"/>
      <c r="J54" s="12"/>
      <c r="K54" s="12"/>
      <c r="L54" s="12"/>
    </row>
    <row r="55" spans="1:12" ht="30">
      <c r="A55" s="246" t="s">
        <v>290</v>
      </c>
      <c r="B55" s="40"/>
      <c r="C55" s="248" t="s">
        <v>296</v>
      </c>
      <c r="D55" s="12"/>
      <c r="E55" s="12"/>
      <c r="J55" s="12"/>
      <c r="K55" s="12"/>
      <c r="L55" s="12"/>
    </row>
    <row r="56" spans="1:12" ht="17.5">
      <c r="A56" s="247" t="s">
        <v>287</v>
      </c>
      <c r="B56" s="40"/>
      <c r="C56" s="40"/>
      <c r="D56" s="12"/>
      <c r="E56" s="12"/>
      <c r="J56" s="12"/>
      <c r="K56" s="12"/>
      <c r="L56" s="12"/>
    </row>
    <row r="57" spans="1:12" ht="17.5">
      <c r="A57" s="247" t="s">
        <v>288</v>
      </c>
      <c r="B57" s="40"/>
      <c r="C57" s="40"/>
      <c r="D57" s="12"/>
      <c r="E57" s="12"/>
      <c r="J57" s="12"/>
      <c r="K57" s="12"/>
      <c r="L57" s="12"/>
    </row>
    <row r="58" spans="1:12" ht="17.5">
      <c r="A58" s="247" t="s">
        <v>289</v>
      </c>
      <c r="B58" s="40"/>
      <c r="C58" s="40"/>
      <c r="D58" s="12"/>
      <c r="E58" s="12"/>
      <c r="J58" s="12"/>
      <c r="K58" s="12"/>
      <c r="L58" s="12"/>
    </row>
    <row r="64" spans="1:12" ht="30">
      <c r="A64" s="249" t="s">
        <v>295</v>
      </c>
      <c r="B64" s="108"/>
      <c r="C64" s="108"/>
      <c r="D64" s="108"/>
      <c r="E64" s="108"/>
      <c r="F64" s="108"/>
      <c r="G64" s="12"/>
      <c r="H64" s="12"/>
      <c r="I64" s="12"/>
    </row>
    <row r="65" spans="1:9" ht="17.5">
      <c r="A65" s="108"/>
      <c r="B65" s="108"/>
      <c r="C65" s="108"/>
      <c r="D65" s="108"/>
      <c r="E65" s="108"/>
      <c r="F65" s="108"/>
      <c r="G65" s="12"/>
      <c r="H65" s="12"/>
      <c r="I65" s="12"/>
    </row>
    <row r="66" spans="1:9" ht="18" thickBot="1">
      <c r="A66" s="250" t="s">
        <v>292</v>
      </c>
      <c r="B66" s="110"/>
      <c r="C66" s="110"/>
      <c r="D66" s="251" t="s">
        <v>294</v>
      </c>
      <c r="E66" s="110"/>
      <c r="F66" s="108"/>
      <c r="G66" s="12"/>
      <c r="H66" s="12"/>
      <c r="I66" s="12"/>
    </row>
    <row r="67" spans="1:9" ht="17.5">
      <c r="A67" s="108"/>
      <c r="B67" s="108"/>
      <c r="C67" s="108"/>
      <c r="D67" s="108" t="s">
        <v>293</v>
      </c>
      <c r="E67" s="108"/>
      <c r="F67" s="108"/>
      <c r="G67" s="12"/>
      <c r="H67" s="12"/>
      <c r="I67" s="12"/>
    </row>
    <row r="68" spans="1:9" ht="17.5">
      <c r="A68" s="108"/>
      <c r="B68" s="108"/>
      <c r="C68" s="108"/>
      <c r="D68" s="108"/>
      <c r="E68" s="108"/>
      <c r="F68" s="108"/>
      <c r="G68" s="12"/>
      <c r="H68" s="12"/>
      <c r="I68" s="12"/>
    </row>
    <row r="69" spans="1:9" ht="17">
      <c r="A69" s="12"/>
      <c r="B69" s="12"/>
      <c r="C69" s="12"/>
      <c r="D69" s="12"/>
      <c r="E69" s="12"/>
      <c r="F69" s="12"/>
      <c r="G69" s="12"/>
      <c r="H69" s="12"/>
      <c r="I69" s="12"/>
    </row>
    <row r="70" spans="1:9" ht="17">
      <c r="A70" s="12"/>
      <c r="B70" s="12"/>
      <c r="C70" s="12"/>
      <c r="D70" s="12"/>
      <c r="E70" s="12"/>
      <c r="F70" s="12"/>
      <c r="G70" s="12"/>
      <c r="H70" s="12"/>
      <c r="I70" s="12"/>
    </row>
    <row r="71" spans="1:9" ht="17">
      <c r="A71" s="12"/>
      <c r="B71" s="12"/>
      <c r="C71" s="12"/>
      <c r="D71" s="12"/>
      <c r="E71" s="12"/>
      <c r="F71" s="12"/>
      <c r="G71" s="12"/>
      <c r="H71" s="12"/>
      <c r="I71" s="12"/>
    </row>
    <row r="72" spans="1:9" ht="17">
      <c r="A72" s="12"/>
      <c r="B72" s="12"/>
      <c r="C72" s="12"/>
      <c r="D72" s="12"/>
      <c r="E72" s="12"/>
      <c r="F72" s="12"/>
      <c r="G72" s="12"/>
      <c r="H72" s="12"/>
      <c r="I72" s="12"/>
    </row>
    <row r="73" spans="1:9" ht="17">
      <c r="A73" s="12"/>
      <c r="B73" s="12"/>
      <c r="C73" s="12"/>
      <c r="D73" s="12"/>
      <c r="E73" s="12"/>
      <c r="F73" s="12"/>
      <c r="G73" s="12"/>
      <c r="H73" s="12"/>
      <c r="I73" s="12"/>
    </row>
    <row r="74" spans="1:9" ht="17">
      <c r="A74" s="12" t="s">
        <v>0</v>
      </c>
      <c r="B74" s="12"/>
      <c r="C74" s="12"/>
      <c r="D74" s="12"/>
      <c r="E74" s="12"/>
      <c r="F74" s="12"/>
      <c r="G74" s="12"/>
      <c r="H74" s="12"/>
      <c r="I74" s="12"/>
    </row>
    <row r="75" spans="1:9" ht="17">
      <c r="A75" s="12"/>
      <c r="B75" s="12"/>
      <c r="C75" s="12"/>
      <c r="D75" s="12"/>
      <c r="E75" s="12"/>
      <c r="F75" s="12"/>
      <c r="G75" s="12"/>
      <c r="H75" s="12"/>
      <c r="I75" s="12"/>
    </row>
  </sheetData>
  <pageMargins left="0.25" right="0.25" top="0.75" bottom="0.75" header="0.3" footer="0.3"/>
  <pageSetup scale="51" orientation="landscape" r:id="rId1"/>
  <rowBreaks count="1" manualBreakCount="1">
    <brk id="39"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4"/>
  <sheetViews>
    <sheetView view="pageBreakPreview" zoomScale="60" zoomScaleNormal="80" workbookViewId="0">
      <selection activeCell="I30" sqref="I30"/>
    </sheetView>
  </sheetViews>
  <sheetFormatPr defaultRowHeight="14.5"/>
  <cols>
    <col min="1" max="1" width="45.1796875" customWidth="1"/>
    <col min="2" max="2" width="17" customWidth="1"/>
    <col min="3" max="3" width="22.7265625" customWidth="1"/>
    <col min="4" max="4" width="20.1796875" customWidth="1"/>
    <col min="5" max="5" width="24.54296875" customWidth="1"/>
    <col min="6" max="6" width="23.54296875" customWidth="1"/>
    <col min="7" max="7" width="21.26953125" customWidth="1"/>
    <col min="8" max="8" width="19.7265625" customWidth="1"/>
    <col min="9" max="9" width="28.26953125" customWidth="1"/>
    <col min="10" max="10" width="14.1796875" bestFit="1" customWidth="1"/>
    <col min="12" max="12" width="10.54296875" customWidth="1"/>
  </cols>
  <sheetData>
    <row r="1" spans="1:9" ht="25.5">
      <c r="A1" s="23" t="s">
        <v>1</v>
      </c>
      <c r="B1" s="12"/>
      <c r="C1" s="12"/>
      <c r="D1" s="12"/>
      <c r="E1" s="12"/>
      <c r="F1" s="12"/>
      <c r="G1" s="12"/>
      <c r="H1" s="12"/>
      <c r="I1" s="12"/>
    </row>
    <row r="2" spans="1:9" ht="17.5">
      <c r="A2" s="24" t="s">
        <v>9</v>
      </c>
      <c r="B2" s="12"/>
      <c r="C2" s="12"/>
      <c r="D2" s="12"/>
      <c r="E2" s="12"/>
      <c r="F2" s="12"/>
      <c r="G2" s="12"/>
      <c r="H2" s="12"/>
      <c r="I2" s="12"/>
    </row>
    <row r="3" spans="1:9" ht="17">
      <c r="A3" s="25" t="s">
        <v>480</v>
      </c>
      <c r="B3" s="12"/>
      <c r="C3" s="12"/>
      <c r="D3" s="12"/>
      <c r="E3" s="12"/>
      <c r="F3" s="12"/>
      <c r="G3" s="12"/>
      <c r="H3" s="12"/>
      <c r="I3" s="12"/>
    </row>
    <row r="4" spans="1:9" ht="17">
      <c r="A4" s="25"/>
      <c r="B4" s="12"/>
      <c r="C4" s="12"/>
      <c r="D4" s="12"/>
      <c r="E4" s="12"/>
      <c r="F4" s="12"/>
      <c r="G4" s="12"/>
      <c r="H4" s="12"/>
      <c r="I4" s="12"/>
    </row>
    <row r="5" spans="1:9" ht="17">
      <c r="A5" s="25"/>
      <c r="B5" s="12"/>
      <c r="C5" s="12"/>
      <c r="D5" s="12"/>
      <c r="E5" s="12"/>
      <c r="F5" s="12"/>
      <c r="G5" s="12"/>
      <c r="H5" s="12"/>
      <c r="I5" s="12"/>
    </row>
    <row r="6" spans="1:9" ht="17">
      <c r="A6" s="25"/>
      <c r="B6" s="12"/>
      <c r="C6" s="12"/>
      <c r="D6" s="12"/>
      <c r="E6" s="12"/>
      <c r="F6" s="12"/>
      <c r="G6" s="12"/>
      <c r="H6" s="12"/>
      <c r="I6" s="12"/>
    </row>
    <row r="7" spans="1:9" ht="17.5" thickBot="1">
      <c r="A7" s="12"/>
      <c r="B7" s="12"/>
      <c r="C7" s="12"/>
      <c r="H7" s="26"/>
      <c r="I7" s="12"/>
    </row>
    <row r="8" spans="1:9" ht="21.5" thickBot="1">
      <c r="A8" s="282" t="str">
        <f>+'S&amp;D'!A12</f>
        <v>Liquid Transportation Pipeline Carriers</v>
      </c>
      <c r="B8" s="208"/>
      <c r="C8" s="12"/>
      <c r="D8" s="28"/>
      <c r="E8" s="28"/>
      <c r="F8" s="28"/>
      <c r="H8" s="12"/>
      <c r="I8" s="12"/>
    </row>
    <row r="9" spans="1:9" ht="25.5">
      <c r="A9" s="30"/>
      <c r="B9" s="12"/>
      <c r="C9" s="12"/>
      <c r="D9" s="12"/>
      <c r="E9" s="31" t="s">
        <v>124</v>
      </c>
      <c r="F9" s="31"/>
      <c r="H9" s="12"/>
      <c r="I9" s="12"/>
    </row>
    <row r="10" spans="1:9" ht="21.5" thickBot="1">
      <c r="A10" s="30"/>
      <c r="B10" s="12"/>
      <c r="C10" s="12"/>
      <c r="D10" s="28"/>
      <c r="E10" s="36" t="s">
        <v>481</v>
      </c>
      <c r="F10" s="36"/>
      <c r="H10" s="12"/>
      <c r="I10" s="12"/>
    </row>
    <row r="11" spans="1:9" ht="21">
      <c r="A11" s="30"/>
      <c r="B11" s="12"/>
      <c r="I11" s="12"/>
    </row>
    <row r="12" spans="1:9" ht="17.5" thickBot="1">
      <c r="A12" s="33" t="s">
        <v>0</v>
      </c>
      <c r="B12" s="33" t="s">
        <v>0</v>
      </c>
      <c r="C12" s="33" t="s">
        <v>0</v>
      </c>
      <c r="D12" s="33" t="s">
        <v>0</v>
      </c>
      <c r="E12" s="33" t="s">
        <v>0</v>
      </c>
      <c r="F12" s="33"/>
      <c r="G12" s="33"/>
      <c r="H12" s="28"/>
      <c r="I12" s="28"/>
    </row>
    <row r="13" spans="1:9" ht="17.5">
      <c r="A13" s="91" t="s">
        <v>0</v>
      </c>
      <c r="B13" s="91" t="s">
        <v>3</v>
      </c>
      <c r="C13" s="91" t="s">
        <v>5</v>
      </c>
      <c r="D13" s="91" t="s">
        <v>21</v>
      </c>
      <c r="E13" s="192" t="s">
        <v>232</v>
      </c>
      <c r="F13" s="192" t="s">
        <v>343</v>
      </c>
      <c r="G13" s="91" t="s">
        <v>20</v>
      </c>
      <c r="H13" s="91" t="s">
        <v>148</v>
      </c>
      <c r="I13" s="91" t="s">
        <v>148</v>
      </c>
    </row>
    <row r="14" spans="1:9" ht="18" thickBot="1">
      <c r="A14" s="98" t="s">
        <v>2</v>
      </c>
      <c r="B14" s="98" t="s">
        <v>4</v>
      </c>
      <c r="C14" s="98" t="s">
        <v>6</v>
      </c>
      <c r="D14" s="98" t="s">
        <v>23</v>
      </c>
      <c r="E14" s="98" t="s">
        <v>344</v>
      </c>
      <c r="F14" s="98" t="s">
        <v>194</v>
      </c>
      <c r="G14" s="98" t="s">
        <v>22</v>
      </c>
      <c r="H14" s="98" t="s">
        <v>172</v>
      </c>
      <c r="I14" s="98" t="s">
        <v>120</v>
      </c>
    </row>
    <row r="15" spans="1:9" ht="15">
      <c r="A15" s="38" t="s">
        <v>7</v>
      </c>
      <c r="B15" s="38" t="s">
        <v>7</v>
      </c>
      <c r="C15" s="38" t="s">
        <v>7</v>
      </c>
      <c r="D15" s="38" t="s">
        <v>7</v>
      </c>
      <c r="E15" s="242" t="s">
        <v>276</v>
      </c>
      <c r="F15" s="242" t="s">
        <v>276</v>
      </c>
      <c r="G15" s="38" t="s">
        <v>7</v>
      </c>
      <c r="H15" s="38" t="s">
        <v>7</v>
      </c>
      <c r="I15" s="242" t="s">
        <v>276</v>
      </c>
    </row>
    <row r="16" spans="1:9" ht="17.5" thickBot="1">
      <c r="A16" s="34"/>
      <c r="B16" s="34"/>
      <c r="C16" s="34"/>
      <c r="D16" s="34"/>
      <c r="G16" s="34"/>
      <c r="H16" s="34"/>
      <c r="I16" s="34"/>
    </row>
    <row r="17" spans="1:9" ht="17">
      <c r="A17" s="161"/>
      <c r="B17" s="114"/>
      <c r="C17" s="114"/>
      <c r="D17" s="114"/>
      <c r="E17" s="333"/>
      <c r="F17" s="333"/>
      <c r="G17" s="114"/>
      <c r="H17" s="114"/>
      <c r="I17" s="162"/>
    </row>
    <row r="18" spans="1:9" ht="20.25" customHeight="1">
      <c r="A18" s="104" t="str">
        <f>+'S&amp;D'!A22</f>
        <v>Energy Transfer LP</v>
      </c>
      <c r="B18" s="91" t="str">
        <f>+'S&amp;D'!B22</f>
        <v>ET</v>
      </c>
      <c r="C18" s="91" t="str">
        <f>+'S&amp;D'!C22</f>
        <v>Pipeline MLPs</v>
      </c>
      <c r="D18" s="366" t="s">
        <v>522</v>
      </c>
      <c r="E18" s="278">
        <v>0.11</v>
      </c>
      <c r="F18" s="278" t="s">
        <v>523</v>
      </c>
      <c r="G18" s="91" t="s">
        <v>25</v>
      </c>
      <c r="H18" s="59">
        <v>1.1000000000000001</v>
      </c>
      <c r="I18" s="325">
        <v>1.1000000000000001</v>
      </c>
    </row>
    <row r="19" spans="1:9" ht="20.25" customHeight="1">
      <c r="A19" s="104" t="str">
        <f>+'S&amp;D'!A23</f>
        <v>Enterprise Products Partnership LP</v>
      </c>
      <c r="B19" s="91" t="str">
        <f>+'S&amp;D'!B23</f>
        <v>EPD</v>
      </c>
      <c r="C19" s="91" t="str">
        <f>+'S&amp;D'!C23</f>
        <v>Pipeline MLPs</v>
      </c>
      <c r="D19" s="334">
        <v>1.4999999999999999E-2</v>
      </c>
      <c r="E19" s="278">
        <v>0.20499999999999999</v>
      </c>
      <c r="F19" s="278">
        <v>0.04</v>
      </c>
      <c r="G19" s="91" t="s">
        <v>524</v>
      </c>
      <c r="H19" s="59">
        <v>1</v>
      </c>
      <c r="I19" s="325">
        <v>1</v>
      </c>
    </row>
    <row r="20" spans="1:9" ht="20.25" customHeight="1">
      <c r="A20" s="104" t="str">
        <f>+'S&amp;D'!A24</f>
        <v>Hess Midstream LP</v>
      </c>
      <c r="B20" s="91" t="str">
        <f>+'S&amp;D'!B24</f>
        <v>HESM</v>
      </c>
      <c r="C20" s="91" t="str">
        <f>+'S&amp;D'!C24</f>
        <v>Pipeline MLPs</v>
      </c>
      <c r="D20" s="334">
        <v>0.05</v>
      </c>
      <c r="E20" s="367">
        <v>0.28000000000000003</v>
      </c>
      <c r="F20" s="367" t="s">
        <v>522</v>
      </c>
      <c r="G20" s="91" t="s">
        <v>90</v>
      </c>
      <c r="H20" s="59">
        <v>1.05</v>
      </c>
      <c r="I20" s="325">
        <v>1.05</v>
      </c>
    </row>
    <row r="21" spans="1:9" ht="20.25" customHeight="1">
      <c r="A21" s="104" t="str">
        <f>+'S&amp;D'!A25</f>
        <v>MPLX, LP</v>
      </c>
      <c r="B21" s="91" t="str">
        <f>+'S&amp;D'!B25</f>
        <v>MPLX</v>
      </c>
      <c r="C21" s="91" t="str">
        <f>+'S&amp;D'!C25</f>
        <v>Pipeline MLPs</v>
      </c>
      <c r="D21" s="122">
        <v>0.03</v>
      </c>
      <c r="E21" s="278">
        <v>0.32500000000000001</v>
      </c>
      <c r="F21" s="278">
        <v>6.5000000000000002E-2</v>
      </c>
      <c r="G21" s="91" t="s">
        <v>25</v>
      </c>
      <c r="H21" s="59">
        <v>0.95</v>
      </c>
      <c r="I21" s="325">
        <v>0.95</v>
      </c>
    </row>
    <row r="22" spans="1:9" ht="20.25" customHeight="1">
      <c r="A22" s="104" t="str">
        <f>+'S&amp;D'!A26</f>
        <v>NuStar Energy LP</v>
      </c>
      <c r="B22" s="91" t="str">
        <f>+'S&amp;D'!B26</f>
        <v>NS</v>
      </c>
      <c r="C22" s="91" t="str">
        <f>+'S&amp;D'!C26</f>
        <v>Pipeline MLPs</v>
      </c>
      <c r="D22" s="122">
        <v>2.5000000000000001E-2</v>
      </c>
      <c r="E22" s="278">
        <v>0.26500000000000001</v>
      </c>
      <c r="F22" s="367" t="s">
        <v>522</v>
      </c>
      <c r="G22" s="91" t="s">
        <v>90</v>
      </c>
      <c r="H22" s="59">
        <v>1.1499999999999999</v>
      </c>
      <c r="I22" s="325">
        <v>1.1499999999999999</v>
      </c>
    </row>
    <row r="23" spans="1:9" ht="20.25" customHeight="1">
      <c r="A23" s="104" t="str">
        <f>+'S&amp;D'!A27</f>
        <v>Plains All American Pipeline LP</v>
      </c>
      <c r="B23" s="91" t="str">
        <f>+'S&amp;D'!B27</f>
        <v>PAA</v>
      </c>
      <c r="C23" s="91" t="str">
        <f>+'S&amp;D'!C27</f>
        <v>Pipeline MLPs</v>
      </c>
      <c r="D23" s="122">
        <v>0.08</v>
      </c>
      <c r="E23" s="278">
        <v>0.12</v>
      </c>
      <c r="F23" s="278">
        <v>0.01</v>
      </c>
      <c r="G23" s="91" t="s">
        <v>90</v>
      </c>
      <c r="H23" s="59">
        <v>1.4</v>
      </c>
      <c r="I23" s="325">
        <v>1.4</v>
      </c>
    </row>
    <row r="24" spans="1:9" ht="20.25" customHeight="1" thickBot="1">
      <c r="A24" s="452" t="str">
        <f>+'S&amp;D'!A28</f>
        <v>Western Midstream Partners LP</v>
      </c>
      <c r="B24" s="453" t="str">
        <f>+'S&amp;D'!B28</f>
        <v>WES</v>
      </c>
      <c r="C24" s="453" t="str">
        <f>+'S&amp;D'!C28</f>
        <v>Pipeline MLPs</v>
      </c>
      <c r="D24" s="454">
        <v>0.01</v>
      </c>
      <c r="E24" s="455">
        <v>0.37</v>
      </c>
      <c r="F24" s="455">
        <v>6.5000000000000002E-2</v>
      </c>
      <c r="G24" s="453" t="s">
        <v>525</v>
      </c>
      <c r="H24" s="64">
        <v>1.35</v>
      </c>
      <c r="I24" s="368">
        <v>1.35</v>
      </c>
    </row>
    <row r="25" spans="1:9" ht="20.25" customHeight="1" thickTop="1">
      <c r="A25" s="108"/>
      <c r="B25" s="108"/>
      <c r="C25" s="4"/>
      <c r="D25" s="186" t="s">
        <v>0</v>
      </c>
      <c r="E25" s="4"/>
      <c r="F25" s="4"/>
      <c r="G25" s="126" t="s">
        <v>45</v>
      </c>
      <c r="H25" s="187">
        <f>+MAX(H18:H24)</f>
        <v>1.4</v>
      </c>
      <c r="I25" s="188">
        <f>+MAX(I18:I24)</f>
        <v>1.4</v>
      </c>
    </row>
    <row r="26" spans="1:9" ht="20.25" customHeight="1">
      <c r="A26" s="108"/>
      <c r="B26" s="108"/>
      <c r="C26" s="4"/>
      <c r="D26" s="186" t="s">
        <v>0</v>
      </c>
      <c r="E26" s="4"/>
      <c r="F26" s="4"/>
      <c r="G26" s="126" t="s">
        <v>46</v>
      </c>
      <c r="H26" s="371">
        <f>MIN(H18:H24)</f>
        <v>0.95</v>
      </c>
      <c r="I26" s="372">
        <f>MIN(I18:I24)</f>
        <v>0.95</v>
      </c>
    </row>
    <row r="27" spans="1:9" ht="20.25" customHeight="1">
      <c r="A27" s="108"/>
      <c r="B27" s="108"/>
      <c r="C27" s="4"/>
      <c r="D27" s="189" t="s">
        <v>0</v>
      </c>
      <c r="E27" s="4"/>
      <c r="F27" s="4"/>
      <c r="G27" s="126" t="s">
        <v>18</v>
      </c>
      <c r="H27" s="190">
        <f>MEDIAN(H18:H24)</f>
        <v>1.1000000000000001</v>
      </c>
      <c r="I27" s="190">
        <f>MEDIAN(I18:I24)</f>
        <v>1.1000000000000001</v>
      </c>
    </row>
    <row r="28" spans="1:9" ht="20.25" customHeight="1">
      <c r="A28" s="108"/>
      <c r="B28" s="108"/>
      <c r="C28" s="4"/>
      <c r="D28" s="129" t="s">
        <v>0</v>
      </c>
      <c r="E28" s="4"/>
      <c r="F28" s="4"/>
      <c r="G28" s="126" t="s">
        <v>440</v>
      </c>
      <c r="H28" s="191">
        <f>AVERAGE(H18:H24)</f>
        <v>1.1428571428571428</v>
      </c>
      <c r="I28" s="191">
        <f>AVERAGE(I18:I24)</f>
        <v>1.1428571428571428</v>
      </c>
    </row>
    <row r="29" spans="1:9" ht="20.25" customHeight="1" thickBot="1">
      <c r="A29" s="12"/>
      <c r="B29" s="12"/>
      <c r="C29" s="12"/>
      <c r="D29" s="12" t="s">
        <v>0</v>
      </c>
      <c r="G29" s="12"/>
      <c r="H29" s="12"/>
      <c r="I29" s="12"/>
    </row>
    <row r="30" spans="1:9" ht="20.25" customHeight="1" thickBot="1">
      <c r="A30" s="12"/>
      <c r="B30" s="12"/>
      <c r="C30" s="12"/>
      <c r="D30" s="12"/>
      <c r="G30" s="12"/>
      <c r="H30" s="214" t="s">
        <v>74</v>
      </c>
      <c r="I30" s="332">
        <v>1.1399999999999999</v>
      </c>
    </row>
    <row r="31" spans="1:9" ht="20.25" customHeight="1">
      <c r="A31" s="12"/>
      <c r="B31" s="12"/>
      <c r="C31" s="12"/>
      <c r="D31" s="12"/>
      <c r="G31" s="12"/>
      <c r="H31" s="68"/>
      <c r="I31" s="303"/>
    </row>
    <row r="32" spans="1:9" ht="20.25" customHeight="1">
      <c r="A32" s="12"/>
      <c r="B32" s="12"/>
      <c r="C32" s="12"/>
      <c r="D32" s="12"/>
      <c r="G32" s="12"/>
      <c r="H32" s="68"/>
      <c r="I32" s="303"/>
    </row>
    <row r="33" spans="1:1" ht="17.5">
      <c r="A33" s="108" t="s">
        <v>346</v>
      </c>
    </row>
    <row r="34" spans="1:1" ht="17.5">
      <c r="A34" s="108" t="s">
        <v>345</v>
      </c>
    </row>
  </sheetData>
  <pageMargins left="0.25" right="0.25"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M30"/>
  <sheetViews>
    <sheetView view="pageBreakPreview" zoomScale="60" zoomScaleNormal="80" workbookViewId="0">
      <selection activeCell="L25" sqref="L25"/>
    </sheetView>
  </sheetViews>
  <sheetFormatPr defaultRowHeight="14.5"/>
  <cols>
    <col min="1" max="1" width="50.453125" customWidth="1"/>
    <col min="2" max="2" width="10.81640625" bestFit="1" customWidth="1"/>
    <col min="3" max="3" width="19.1796875" bestFit="1"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3" t="s">
        <v>1</v>
      </c>
      <c r="B1" s="12"/>
      <c r="C1" s="12"/>
      <c r="D1" s="12"/>
      <c r="E1" s="12"/>
      <c r="F1" s="12"/>
      <c r="G1" s="12"/>
      <c r="H1" s="12"/>
      <c r="I1" s="12"/>
      <c r="J1" s="12"/>
    </row>
    <row r="2" spans="1:11" ht="17.5">
      <c r="A2" s="24" t="s">
        <v>9</v>
      </c>
      <c r="B2" s="12"/>
      <c r="C2" s="12"/>
      <c r="D2" s="12"/>
      <c r="E2" s="12"/>
      <c r="F2" s="12"/>
      <c r="G2" s="12"/>
      <c r="H2" s="12"/>
      <c r="I2" s="12"/>
      <c r="J2" s="12"/>
    </row>
    <row r="3" spans="1:11" ht="17">
      <c r="A3" s="25" t="s">
        <v>480</v>
      </c>
      <c r="B3" s="12"/>
      <c r="C3" s="12"/>
      <c r="D3" s="12"/>
      <c r="E3" s="12"/>
      <c r="F3" s="12"/>
      <c r="G3" s="12"/>
      <c r="H3" s="12"/>
      <c r="I3" s="12"/>
      <c r="J3" s="12"/>
    </row>
    <row r="4" spans="1:11" ht="17">
      <c r="A4" s="25"/>
      <c r="B4" s="12"/>
      <c r="C4" s="12"/>
      <c r="D4" s="12"/>
      <c r="E4" s="12"/>
      <c r="F4" s="12"/>
      <c r="G4" s="12"/>
      <c r="H4" s="12"/>
      <c r="I4" s="12"/>
      <c r="J4" s="12"/>
    </row>
    <row r="5" spans="1:11" ht="17.5" thickBot="1">
      <c r="A5" s="12"/>
      <c r="B5" s="12"/>
      <c r="C5" s="12"/>
      <c r="D5" s="12"/>
      <c r="E5" s="12"/>
      <c r="F5" s="12"/>
      <c r="G5" s="26"/>
      <c r="H5" s="12"/>
      <c r="I5" s="12"/>
      <c r="J5" s="12"/>
    </row>
    <row r="6" spans="1:11" ht="21.5" thickBot="1">
      <c r="A6" s="282" t="str">
        <f>+'S&amp;D'!A12</f>
        <v>Liquid Transportation Pipeline Carriers</v>
      </c>
      <c r="B6" s="208"/>
      <c r="C6" s="12"/>
      <c r="D6" s="28"/>
      <c r="E6" s="28"/>
      <c r="F6" s="29" t="s">
        <v>0</v>
      </c>
      <c r="G6" s="12"/>
      <c r="H6" s="12"/>
      <c r="I6" s="12"/>
      <c r="J6" s="12"/>
    </row>
    <row r="7" spans="1:11" ht="25.5">
      <c r="A7" s="30"/>
      <c r="B7" s="12"/>
      <c r="C7" s="12"/>
      <c r="D7" s="12"/>
      <c r="E7" s="31" t="s">
        <v>173</v>
      </c>
      <c r="F7" s="12"/>
      <c r="G7" s="12"/>
      <c r="H7" s="12"/>
      <c r="I7" s="12"/>
      <c r="J7" s="12"/>
    </row>
    <row r="8" spans="1:11" ht="21.5" thickBot="1">
      <c r="A8" s="30"/>
      <c r="B8" s="12"/>
      <c r="C8" s="12"/>
      <c r="D8" s="28"/>
      <c r="E8" s="32" t="s">
        <v>481</v>
      </c>
      <c r="F8" s="28"/>
      <c r="G8" s="12"/>
      <c r="H8" s="12"/>
      <c r="I8" s="12"/>
      <c r="J8" s="12"/>
    </row>
    <row r="9" spans="1:11" ht="17.5" thickBot="1">
      <c r="A9" s="33" t="s">
        <v>0</v>
      </c>
      <c r="B9" s="33" t="s">
        <v>0</v>
      </c>
      <c r="C9" s="33" t="s">
        <v>0</v>
      </c>
      <c r="D9" s="33" t="s">
        <v>0</v>
      </c>
      <c r="E9" s="33" t="s">
        <v>0</v>
      </c>
      <c r="F9" s="33"/>
      <c r="G9" s="28"/>
      <c r="H9" s="28"/>
      <c r="I9" s="28"/>
      <c r="J9" s="28"/>
      <c r="K9" s="159"/>
    </row>
    <row r="10" spans="1:11" ht="17">
      <c r="A10" s="34" t="s">
        <v>0</v>
      </c>
      <c r="B10" s="34" t="s">
        <v>3</v>
      </c>
      <c r="C10" s="34" t="s">
        <v>5</v>
      </c>
      <c r="D10" s="34" t="s">
        <v>168</v>
      </c>
      <c r="E10" s="34" t="s">
        <v>169</v>
      </c>
      <c r="F10" s="34" t="s">
        <v>171</v>
      </c>
      <c r="G10" s="34" t="s">
        <v>169</v>
      </c>
      <c r="H10" s="34" t="s">
        <v>171</v>
      </c>
      <c r="I10" s="34" t="s">
        <v>169</v>
      </c>
      <c r="J10" s="34" t="s">
        <v>171</v>
      </c>
      <c r="K10" s="34" t="s">
        <v>279</v>
      </c>
    </row>
    <row r="11" spans="1:11" ht="17">
      <c r="A11" s="34"/>
      <c r="B11" s="34" t="s">
        <v>4</v>
      </c>
      <c r="C11" s="34" t="s">
        <v>6</v>
      </c>
      <c r="D11" s="34" t="s">
        <v>27</v>
      </c>
      <c r="E11" s="34" t="s">
        <v>170</v>
      </c>
      <c r="F11" s="34" t="s">
        <v>121</v>
      </c>
      <c r="G11" s="34" t="s">
        <v>170</v>
      </c>
      <c r="H11" s="34" t="s">
        <v>121</v>
      </c>
      <c r="I11" s="34" t="s">
        <v>170</v>
      </c>
      <c r="J11" s="34" t="s">
        <v>121</v>
      </c>
      <c r="K11" s="34" t="s">
        <v>185</v>
      </c>
    </row>
    <row r="12" spans="1:11" ht="17.5" thickBot="1">
      <c r="A12" s="36" t="s">
        <v>2</v>
      </c>
      <c r="B12" s="36" t="s">
        <v>0</v>
      </c>
      <c r="C12" s="36" t="s">
        <v>0</v>
      </c>
      <c r="D12" s="36" t="s">
        <v>0</v>
      </c>
      <c r="E12" s="36" t="s">
        <v>172</v>
      </c>
      <c r="F12" s="36" t="s">
        <v>172</v>
      </c>
      <c r="G12" s="36" t="s">
        <v>277</v>
      </c>
      <c r="H12" s="36" t="s">
        <v>277</v>
      </c>
      <c r="I12" s="36" t="s">
        <v>278</v>
      </c>
      <c r="J12" s="36" t="s">
        <v>278</v>
      </c>
      <c r="K12" s="244" t="s">
        <v>280</v>
      </c>
    </row>
    <row r="13" spans="1:11" ht="15">
      <c r="A13" s="38" t="s">
        <v>7</v>
      </c>
      <c r="B13" s="38" t="s">
        <v>7</v>
      </c>
      <c r="C13" s="38" t="s">
        <v>7</v>
      </c>
      <c r="D13" s="39" t="s">
        <v>114</v>
      </c>
      <c r="E13" s="38" t="s">
        <v>7</v>
      </c>
      <c r="F13" s="38" t="s">
        <v>15</v>
      </c>
      <c r="G13" s="38" t="s">
        <v>7</v>
      </c>
      <c r="H13" s="38" t="s">
        <v>15</v>
      </c>
      <c r="I13" s="38" t="s">
        <v>7</v>
      </c>
      <c r="J13" s="38" t="s">
        <v>15</v>
      </c>
      <c r="K13" s="38" t="s">
        <v>15</v>
      </c>
    </row>
    <row r="14" spans="1:11" ht="17">
      <c r="A14" s="34"/>
      <c r="B14" s="34"/>
      <c r="C14" s="34"/>
      <c r="D14" s="34"/>
      <c r="E14" s="34"/>
      <c r="F14" s="34"/>
      <c r="G14" s="12"/>
      <c r="H14" s="12"/>
      <c r="I14" s="12"/>
      <c r="J14" s="12"/>
      <c r="K14" s="12"/>
    </row>
    <row r="15" spans="1:11" ht="17">
      <c r="A15" s="12"/>
      <c r="B15" s="12"/>
      <c r="C15" s="12"/>
      <c r="D15" s="12"/>
      <c r="E15" s="12"/>
      <c r="F15" s="12"/>
      <c r="G15" s="12"/>
      <c r="H15" s="12"/>
      <c r="I15" s="12"/>
      <c r="J15" s="12"/>
      <c r="K15" s="12"/>
    </row>
    <row r="16" spans="1:11" ht="17.5">
      <c r="A16" s="62" t="str">
        <f>+'S&amp;D'!A22</f>
        <v>Energy Transfer LP</v>
      </c>
      <c r="B16" s="91" t="str">
        <f>+'S&amp;D'!B22</f>
        <v>ET</v>
      </c>
      <c r="C16" s="91" t="str">
        <f>+'S&amp;D'!C22</f>
        <v>Pipeline MLPs</v>
      </c>
      <c r="D16" s="59">
        <f>+'S&amp;D'!G22</f>
        <v>13.8</v>
      </c>
      <c r="E16" s="61">
        <v>1.3</v>
      </c>
      <c r="F16" s="65">
        <f t="shared" ref="F16:F18" si="0">+E16/D16</f>
        <v>9.420289855072464E-2</v>
      </c>
      <c r="G16" s="61">
        <v>1.35</v>
      </c>
      <c r="H16" s="65">
        <f t="shared" ref="H16:H18" si="1">+G16/D16</f>
        <v>9.7826086956521743E-2</v>
      </c>
      <c r="I16" s="61">
        <v>1.5</v>
      </c>
      <c r="J16" s="65">
        <f t="shared" ref="J16:J18" si="2">+I16/D16</f>
        <v>0.10869565217391304</v>
      </c>
      <c r="K16" s="243">
        <f t="shared" ref="K16:K18" si="3">RATE(3,,-G16,I16)</f>
        <v>3.5744168651286448E-2</v>
      </c>
    </row>
    <row r="17" spans="1:13" ht="17.5">
      <c r="A17" s="62" t="str">
        <f>+'S&amp;D'!A23</f>
        <v>Enterprise Products Partnership LP</v>
      </c>
      <c r="B17" s="91" t="str">
        <f>+'S&amp;D'!B23</f>
        <v>EPD</v>
      </c>
      <c r="C17" s="91" t="str">
        <f>+'S&amp;D'!C23</f>
        <v>Pipeline MLPs</v>
      </c>
      <c r="D17" s="59">
        <f>+'S&amp;D'!G23</f>
        <v>26.35</v>
      </c>
      <c r="E17" s="61">
        <v>2.12</v>
      </c>
      <c r="F17" s="65">
        <f t="shared" si="0"/>
        <v>8.0455407969639472E-2</v>
      </c>
      <c r="G17" s="61">
        <v>2.2999999999999998</v>
      </c>
      <c r="H17" s="65">
        <f t="shared" si="1"/>
        <v>8.7286527514231493E-2</v>
      </c>
      <c r="I17" s="61">
        <v>3.35</v>
      </c>
      <c r="J17" s="65">
        <f t="shared" si="2"/>
        <v>0.12713472485768501</v>
      </c>
      <c r="K17" s="243">
        <f t="shared" si="3"/>
        <v>0.13354558651132678</v>
      </c>
    </row>
    <row r="18" spans="1:13" ht="17.5">
      <c r="A18" s="62" t="str">
        <f>+'S&amp;D'!A24</f>
        <v>Hess Midstream LP</v>
      </c>
      <c r="B18" s="91" t="str">
        <f>+'S&amp;D'!B24</f>
        <v>HESM</v>
      </c>
      <c r="C18" s="91" t="str">
        <f>+'S&amp;D'!C24</f>
        <v>Pipeline MLPs</v>
      </c>
      <c r="D18" s="59">
        <f>+'S&amp;D'!G24</f>
        <v>31.63</v>
      </c>
      <c r="E18" s="61">
        <v>2.7</v>
      </c>
      <c r="F18" s="65">
        <f t="shared" si="0"/>
        <v>8.5361998103066716E-2</v>
      </c>
      <c r="G18" s="61">
        <v>3.05</v>
      </c>
      <c r="H18" s="65">
        <f t="shared" si="1"/>
        <v>9.642744230161239E-2</v>
      </c>
      <c r="I18" s="61">
        <v>3.6</v>
      </c>
      <c r="J18" s="65">
        <f t="shared" si="2"/>
        <v>0.11381599747075562</v>
      </c>
      <c r="K18" s="243">
        <f t="shared" si="3"/>
        <v>5.6819667993607152E-2</v>
      </c>
    </row>
    <row r="19" spans="1:13" ht="17.5">
      <c r="A19" s="62" t="str">
        <f>+'S&amp;D'!A25</f>
        <v>MPLX, LP</v>
      </c>
      <c r="B19" s="91" t="str">
        <f>+'S&amp;D'!B25</f>
        <v>MPLX</v>
      </c>
      <c r="C19" s="91" t="str">
        <f>+'S&amp;D'!C25</f>
        <v>Pipeline MLPs</v>
      </c>
      <c r="D19" s="59">
        <f>+'S&amp;D'!G25</f>
        <v>36.72</v>
      </c>
      <c r="E19" s="61">
        <v>3.45</v>
      </c>
      <c r="F19" s="65">
        <f t="shared" ref="F19:F22" si="4">+E19/D19</f>
        <v>9.3954248366013085E-2</v>
      </c>
      <c r="G19" s="61">
        <v>3.8</v>
      </c>
      <c r="H19" s="65">
        <f>+G19/D19</f>
        <v>0.10348583877995643</v>
      </c>
      <c r="I19" s="61">
        <v>4.3</v>
      </c>
      <c r="J19" s="65">
        <f t="shared" ref="J19:J22" si="5">+I19/D19</f>
        <v>0.11710239651416122</v>
      </c>
      <c r="K19" s="243">
        <f>RATE(3,,-G19,I19)</f>
        <v>4.2065344470325457E-2</v>
      </c>
    </row>
    <row r="20" spans="1:13" ht="17.5">
      <c r="A20" s="62" t="str">
        <f>+'S&amp;D'!A26</f>
        <v>NuStar Energy LP</v>
      </c>
      <c r="B20" s="91" t="str">
        <f>+'S&amp;D'!B26</f>
        <v>NS</v>
      </c>
      <c r="C20" s="91" t="str">
        <f>+'S&amp;D'!C26</f>
        <v>Pipeline MLPs</v>
      </c>
      <c r="D20" s="59">
        <f>+'S&amp;D'!G26</f>
        <v>18.68</v>
      </c>
      <c r="E20" s="61">
        <v>1.6</v>
      </c>
      <c r="F20" s="65">
        <f t="shared" si="4"/>
        <v>8.5653104925053541E-2</v>
      </c>
      <c r="G20" s="61">
        <v>1.6</v>
      </c>
      <c r="H20" s="65">
        <f t="shared" ref="H20:H22" si="6">+G20/D20</f>
        <v>8.5653104925053541E-2</v>
      </c>
      <c r="I20" s="61">
        <v>2.4</v>
      </c>
      <c r="J20" s="65">
        <f t="shared" si="5"/>
        <v>0.1284796573875803</v>
      </c>
      <c r="K20" s="243">
        <f t="shared" ref="K20:K22" si="7">RATE(3,,-G20,I20)</f>
        <v>0.14471424255333182</v>
      </c>
      <c r="M20" s="379"/>
    </row>
    <row r="21" spans="1:13" ht="17.5">
      <c r="A21" s="62" t="str">
        <f>+'S&amp;D'!A27</f>
        <v>Plains All American Pipeline LP</v>
      </c>
      <c r="B21" s="91" t="str">
        <f>+'S&amp;D'!B27</f>
        <v>PAA</v>
      </c>
      <c r="C21" s="91" t="str">
        <f>+'S&amp;D'!C27</f>
        <v>Pipeline MLPs</v>
      </c>
      <c r="D21" s="59">
        <f>+'S&amp;D'!G27</f>
        <v>15.15</v>
      </c>
      <c r="E21" s="61">
        <v>1.27</v>
      </c>
      <c r="F21" s="65">
        <f t="shared" si="4"/>
        <v>8.3828382838283824E-2</v>
      </c>
      <c r="G21" s="61">
        <v>1.5</v>
      </c>
      <c r="H21" s="65">
        <f t="shared" si="6"/>
        <v>9.9009900990099001E-2</v>
      </c>
      <c r="I21" s="61">
        <v>2.6</v>
      </c>
      <c r="J21" s="65">
        <f t="shared" si="5"/>
        <v>0.17161716171617161</v>
      </c>
      <c r="K21" s="243">
        <f t="shared" si="7"/>
        <v>0.20123329994301456</v>
      </c>
    </row>
    <row r="22" spans="1:13" ht="17.5">
      <c r="A22" s="62" t="str">
        <f>+'S&amp;D'!A28</f>
        <v>Western Midstream Partners LP</v>
      </c>
      <c r="B22" s="91" t="str">
        <f>+'S&amp;D'!B28</f>
        <v>WES</v>
      </c>
      <c r="C22" s="91" t="str">
        <f>+'S&amp;D'!C28</f>
        <v>Pipeline MLPs</v>
      </c>
      <c r="D22" s="59">
        <f>+'S&amp;D'!G28</f>
        <v>29.26</v>
      </c>
      <c r="E22" s="61">
        <v>2.35</v>
      </c>
      <c r="F22" s="65">
        <f t="shared" si="4"/>
        <v>8.0314422419685574E-2</v>
      </c>
      <c r="G22" s="61">
        <v>2.5</v>
      </c>
      <c r="H22" s="65">
        <f t="shared" si="6"/>
        <v>8.5440874914559123E-2</v>
      </c>
      <c r="I22" s="61">
        <v>2.95</v>
      </c>
      <c r="J22" s="65">
        <f t="shared" si="5"/>
        <v>0.10082023239917977</v>
      </c>
      <c r="K22" s="243">
        <f t="shared" si="7"/>
        <v>5.6721805258721086E-2</v>
      </c>
    </row>
    <row r="23" spans="1:13" ht="17.5" thickBot="1">
      <c r="A23" s="12"/>
      <c r="B23" s="12"/>
      <c r="C23" s="43"/>
      <c r="D23" s="46"/>
      <c r="E23" s="46"/>
      <c r="F23" s="46"/>
      <c r="G23" s="46"/>
      <c r="H23" s="46"/>
      <c r="I23" s="46"/>
      <c r="J23" s="46"/>
      <c r="K23" s="46"/>
    </row>
    <row r="24" spans="1:13" ht="17.5" thickTop="1">
      <c r="A24" s="12"/>
      <c r="B24" s="12"/>
      <c r="D24" s="14" t="s">
        <v>45</v>
      </c>
      <c r="E24" s="16">
        <f>MAX(E16:E22)</f>
        <v>3.45</v>
      </c>
      <c r="F24" s="339">
        <f t="shared" ref="F24:K24" si="8">MAX(F16:F22)</f>
        <v>9.420289855072464E-2</v>
      </c>
      <c r="G24" s="16">
        <f t="shared" si="8"/>
        <v>3.8</v>
      </c>
      <c r="H24" s="339">
        <f t="shared" si="8"/>
        <v>0.10348583877995643</v>
      </c>
      <c r="I24" s="16">
        <f t="shared" si="8"/>
        <v>4.3</v>
      </c>
      <c r="J24" s="339">
        <f t="shared" si="8"/>
        <v>0.17161716171617161</v>
      </c>
      <c r="K24" s="339">
        <f t="shared" si="8"/>
        <v>0.20123329994301456</v>
      </c>
    </row>
    <row r="25" spans="1:13" ht="17">
      <c r="A25" s="12"/>
      <c r="B25" s="12"/>
      <c r="D25" s="14" t="s">
        <v>46</v>
      </c>
      <c r="E25" s="369">
        <f>MIN(E16:E22)</f>
        <v>1.27</v>
      </c>
      <c r="F25" s="370">
        <f t="shared" ref="F25:K25" si="9">MIN(F16:F22)</f>
        <v>8.0314422419685574E-2</v>
      </c>
      <c r="G25" s="369">
        <f t="shared" si="9"/>
        <v>1.35</v>
      </c>
      <c r="H25" s="370">
        <f t="shared" si="9"/>
        <v>8.5440874914559123E-2</v>
      </c>
      <c r="I25" s="369">
        <f t="shared" si="9"/>
        <v>1.5</v>
      </c>
      <c r="J25" s="370">
        <f t="shared" si="9"/>
        <v>0.10082023239917977</v>
      </c>
      <c r="K25" s="370">
        <f t="shared" si="9"/>
        <v>3.5744168651286448E-2</v>
      </c>
    </row>
    <row r="26" spans="1:13" ht="17">
      <c r="A26" s="12"/>
      <c r="B26" s="12"/>
      <c r="D26" s="14" t="s">
        <v>18</v>
      </c>
      <c r="E26" s="17">
        <f t="shared" ref="E26:K26" si="10">MEDIAN(E16:E22)</f>
        <v>2.12</v>
      </c>
      <c r="F26" s="54">
        <f t="shared" si="10"/>
        <v>8.5361998103066716E-2</v>
      </c>
      <c r="G26" s="17">
        <f t="shared" si="10"/>
        <v>2.2999999999999998</v>
      </c>
      <c r="H26" s="54">
        <f t="shared" si="10"/>
        <v>9.642744230161239E-2</v>
      </c>
      <c r="I26" s="17">
        <f t="shared" si="10"/>
        <v>2.95</v>
      </c>
      <c r="J26" s="54">
        <f t="shared" si="10"/>
        <v>0.11710239651416122</v>
      </c>
      <c r="K26" s="54">
        <f t="shared" si="10"/>
        <v>5.6819667993607152E-2</v>
      </c>
    </row>
    <row r="27" spans="1:13" ht="17">
      <c r="A27" s="12"/>
      <c r="B27" s="12"/>
      <c r="D27" s="14" t="s">
        <v>440</v>
      </c>
      <c r="E27" s="21">
        <f t="shared" ref="E27:K27" si="11">AVERAGE(E16:E22)</f>
        <v>2.1128571428571425</v>
      </c>
      <c r="F27" s="56">
        <f t="shared" si="11"/>
        <v>8.6252923310352406E-2</v>
      </c>
      <c r="G27" s="21">
        <f t="shared" si="11"/>
        <v>2.3000000000000003</v>
      </c>
      <c r="H27" s="56">
        <f t="shared" si="11"/>
        <v>9.3589968054576228E-2</v>
      </c>
      <c r="I27" s="21">
        <f t="shared" si="11"/>
        <v>2.9571428571428569</v>
      </c>
      <c r="J27" s="56">
        <f t="shared" si="11"/>
        <v>0.12395226035992093</v>
      </c>
      <c r="K27" s="56">
        <f t="shared" si="11"/>
        <v>9.5834873625944755E-2</v>
      </c>
    </row>
    <row r="28" spans="1:13" ht="17">
      <c r="A28" s="12"/>
      <c r="B28" s="12"/>
      <c r="C28" s="12"/>
      <c r="D28" s="12"/>
      <c r="E28" s="12"/>
      <c r="F28" s="12"/>
      <c r="G28" s="12"/>
      <c r="H28" s="12"/>
      <c r="I28" s="12"/>
      <c r="J28" s="12"/>
      <c r="K28" s="12"/>
    </row>
    <row r="29" spans="1:13" ht="25.5">
      <c r="A29" s="12"/>
      <c r="B29" s="12"/>
      <c r="C29" s="12"/>
      <c r="D29" s="12"/>
      <c r="E29" s="12"/>
      <c r="F29" s="49" t="s">
        <v>0</v>
      </c>
      <c r="G29" s="63" t="s">
        <v>0</v>
      </c>
      <c r="H29" s="12"/>
      <c r="I29" s="12"/>
      <c r="J29" s="12"/>
      <c r="K29" s="12"/>
    </row>
    <row r="30" spans="1:13" ht="18.5">
      <c r="A30" s="245" t="s">
        <v>281</v>
      </c>
    </row>
  </sheetData>
  <pageMargins left="0.25" right="0.25"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30"/>
  <sheetViews>
    <sheetView view="pageBreakPreview" zoomScale="60" zoomScaleNormal="80" workbookViewId="0">
      <selection activeCell="E24" sqref="E24"/>
    </sheetView>
  </sheetViews>
  <sheetFormatPr defaultRowHeight="14.5"/>
  <cols>
    <col min="1" max="1" width="51.54296875" customWidth="1"/>
    <col min="2" max="2" width="10.81640625" bestFit="1" customWidth="1"/>
    <col min="3" max="3" width="19.1796875" bestFit="1" customWidth="1"/>
    <col min="4" max="4" width="15.26953125" customWidth="1"/>
    <col min="5" max="5" width="16" customWidth="1"/>
    <col min="6" max="6" width="20" customWidth="1"/>
    <col min="7" max="7" width="16.54296875" customWidth="1"/>
    <col min="8" max="8" width="19.1796875" customWidth="1"/>
    <col min="9" max="10" width="20.1796875" customWidth="1"/>
    <col min="11" max="11" width="17.7265625" customWidth="1"/>
    <col min="12" max="12" width="23.7265625" customWidth="1"/>
  </cols>
  <sheetData>
    <row r="1" spans="1:11" ht="25.5">
      <c r="A1" s="23" t="s">
        <v>1</v>
      </c>
      <c r="B1" s="12"/>
      <c r="C1" s="12"/>
      <c r="D1" s="12"/>
      <c r="E1" s="12"/>
      <c r="F1" s="12"/>
      <c r="G1" s="12"/>
      <c r="H1" s="12"/>
      <c r="I1" s="12"/>
      <c r="J1" s="12"/>
    </row>
    <row r="2" spans="1:11" ht="17.5">
      <c r="A2" s="24" t="s">
        <v>9</v>
      </c>
      <c r="B2" s="12"/>
      <c r="C2" s="12"/>
      <c r="D2" s="12"/>
      <c r="E2" s="12"/>
      <c r="F2" s="12"/>
      <c r="G2" s="12"/>
      <c r="H2" s="12"/>
      <c r="I2" s="12"/>
      <c r="J2" s="12"/>
    </row>
    <row r="3" spans="1:11" ht="17">
      <c r="A3" s="25" t="s">
        <v>480</v>
      </c>
      <c r="B3" s="12"/>
      <c r="C3" s="12"/>
      <c r="D3" s="12"/>
      <c r="E3" s="12"/>
      <c r="F3" s="12"/>
      <c r="G3" s="12"/>
      <c r="H3" s="12"/>
      <c r="I3" s="12"/>
      <c r="J3" s="12"/>
    </row>
    <row r="4" spans="1:11" ht="17">
      <c r="A4" s="25"/>
      <c r="B4" s="12"/>
      <c r="C4" s="12"/>
      <c r="D4" s="12"/>
      <c r="E4" s="12"/>
      <c r="F4" s="12"/>
      <c r="G4" s="12"/>
      <c r="H4" s="12"/>
      <c r="I4" s="12"/>
      <c r="J4" s="12"/>
    </row>
    <row r="5" spans="1:11" ht="17.5" thickBot="1">
      <c r="A5" s="12"/>
      <c r="B5" s="12"/>
      <c r="C5" s="12"/>
      <c r="D5" s="12"/>
      <c r="E5" s="12"/>
      <c r="F5" s="12"/>
      <c r="G5" s="26"/>
      <c r="H5" s="12"/>
      <c r="I5" s="12"/>
      <c r="J5" s="12"/>
    </row>
    <row r="6" spans="1:11" ht="21.5" thickBot="1">
      <c r="A6" s="282" t="str">
        <f>+'S&amp;D'!A12</f>
        <v>Liquid Transportation Pipeline Carriers</v>
      </c>
      <c r="B6" s="208"/>
      <c r="C6" s="12"/>
      <c r="D6" s="28"/>
      <c r="E6" s="28"/>
      <c r="F6" s="29" t="s">
        <v>0</v>
      </c>
      <c r="G6" s="12"/>
      <c r="H6" s="12"/>
      <c r="I6" s="12"/>
      <c r="J6" s="12"/>
    </row>
    <row r="7" spans="1:11" ht="25.5">
      <c r="A7" s="30"/>
      <c r="B7" s="12"/>
      <c r="C7" s="12"/>
      <c r="D7" s="12"/>
      <c r="E7" s="31" t="s">
        <v>282</v>
      </c>
      <c r="F7" s="12"/>
      <c r="G7" s="12"/>
      <c r="H7" s="12"/>
      <c r="I7" s="12"/>
      <c r="J7" s="12"/>
    </row>
    <row r="8" spans="1:11" ht="21.5" thickBot="1">
      <c r="A8" s="30"/>
      <c r="B8" s="12"/>
      <c r="C8" s="12"/>
      <c r="D8" s="28"/>
      <c r="E8" s="32" t="s">
        <v>481</v>
      </c>
      <c r="F8" s="28"/>
      <c r="G8" s="12"/>
      <c r="H8" s="12"/>
      <c r="I8" s="12"/>
      <c r="J8" s="12"/>
    </row>
    <row r="9" spans="1:11" ht="17.5" thickBot="1">
      <c r="A9" s="33" t="s">
        <v>0</v>
      </c>
      <c r="B9" s="33" t="s">
        <v>0</v>
      </c>
      <c r="C9" s="33" t="s">
        <v>0</v>
      </c>
      <c r="D9" s="33" t="s">
        <v>0</v>
      </c>
      <c r="E9" s="33" t="s">
        <v>0</v>
      </c>
      <c r="F9" s="33"/>
      <c r="G9" s="28"/>
      <c r="H9" s="28"/>
      <c r="I9" s="28"/>
      <c r="J9" s="28"/>
      <c r="K9" s="159"/>
    </row>
    <row r="10" spans="1:11" ht="17">
      <c r="A10" s="34" t="s">
        <v>0</v>
      </c>
      <c r="B10" s="34" t="s">
        <v>3</v>
      </c>
      <c r="C10" s="34" t="s">
        <v>5</v>
      </c>
      <c r="D10" s="34" t="s">
        <v>168</v>
      </c>
      <c r="E10" s="34" t="s">
        <v>174</v>
      </c>
      <c r="F10" s="34" t="s">
        <v>174</v>
      </c>
      <c r="G10" s="34" t="s">
        <v>174</v>
      </c>
      <c r="H10" s="34" t="s">
        <v>174</v>
      </c>
      <c r="I10" s="34" t="s">
        <v>174</v>
      </c>
      <c r="J10" s="34" t="s">
        <v>174</v>
      </c>
      <c r="K10" s="34" t="s">
        <v>279</v>
      </c>
    </row>
    <row r="11" spans="1:11" ht="17">
      <c r="A11" s="34"/>
      <c r="B11" s="34" t="s">
        <v>4</v>
      </c>
      <c r="C11" s="34" t="s">
        <v>6</v>
      </c>
      <c r="D11" s="34" t="s">
        <v>27</v>
      </c>
      <c r="E11" s="34" t="s">
        <v>170</v>
      </c>
      <c r="F11" s="34" t="s">
        <v>121</v>
      </c>
      <c r="G11" s="34" t="s">
        <v>170</v>
      </c>
      <c r="H11" s="34" t="s">
        <v>121</v>
      </c>
      <c r="I11" s="34" t="s">
        <v>170</v>
      </c>
      <c r="J11" s="34" t="s">
        <v>121</v>
      </c>
      <c r="K11" s="34" t="s">
        <v>185</v>
      </c>
    </row>
    <row r="12" spans="1:11" ht="17.5" thickBot="1">
      <c r="A12" s="36" t="s">
        <v>2</v>
      </c>
      <c r="B12" s="36" t="s">
        <v>0</v>
      </c>
      <c r="C12" s="36" t="s">
        <v>0</v>
      </c>
      <c r="D12" s="36" t="s">
        <v>0</v>
      </c>
      <c r="E12" s="36" t="s">
        <v>172</v>
      </c>
      <c r="F12" s="36" t="s">
        <v>172</v>
      </c>
      <c r="G12" s="36" t="s">
        <v>277</v>
      </c>
      <c r="H12" s="36" t="s">
        <v>277</v>
      </c>
      <c r="I12" s="36" t="s">
        <v>278</v>
      </c>
      <c r="J12" s="36" t="s">
        <v>278</v>
      </c>
      <c r="K12" s="244" t="s">
        <v>280</v>
      </c>
    </row>
    <row r="13" spans="1:11" ht="15">
      <c r="A13" s="38" t="s">
        <v>7</v>
      </c>
      <c r="B13" s="38" t="s">
        <v>7</v>
      </c>
      <c r="C13" s="38" t="s">
        <v>7</v>
      </c>
      <c r="D13" s="39" t="s">
        <v>114</v>
      </c>
      <c r="E13" s="38" t="s">
        <v>7</v>
      </c>
      <c r="F13" s="38" t="s">
        <v>15</v>
      </c>
      <c r="G13" s="38" t="s">
        <v>7</v>
      </c>
      <c r="H13" s="38" t="s">
        <v>15</v>
      </c>
      <c r="I13" s="38" t="s">
        <v>7</v>
      </c>
      <c r="J13" s="38" t="s">
        <v>15</v>
      </c>
      <c r="K13" s="38" t="s">
        <v>15</v>
      </c>
    </row>
    <row r="14" spans="1:11" ht="17">
      <c r="A14" s="34"/>
      <c r="B14" s="34"/>
      <c r="C14" s="34"/>
      <c r="D14" s="34"/>
      <c r="E14" s="34"/>
      <c r="F14" s="34"/>
      <c r="G14" s="12"/>
      <c r="H14" s="12"/>
      <c r="I14" s="12"/>
      <c r="J14" s="12"/>
      <c r="K14" s="12"/>
    </row>
    <row r="15" spans="1:11" ht="17">
      <c r="A15" s="12"/>
      <c r="B15" s="12"/>
      <c r="C15" s="12"/>
      <c r="D15" s="12"/>
      <c r="E15" s="12"/>
      <c r="F15" s="12"/>
      <c r="G15" s="12"/>
      <c r="H15" s="12"/>
      <c r="I15" s="12"/>
      <c r="J15" s="12"/>
      <c r="K15" s="12"/>
    </row>
    <row r="16" spans="1:11" ht="17.5">
      <c r="A16" s="43" t="str">
        <f>+'S&amp;D'!A22</f>
        <v>Energy Transfer LP</v>
      </c>
      <c r="B16" s="34" t="str">
        <f>+'S&amp;D'!B22</f>
        <v>ET</v>
      </c>
      <c r="C16" s="34" t="str">
        <f>+'S&amp;D'!C22</f>
        <v>Pipeline MLPs</v>
      </c>
      <c r="D16" s="59">
        <f>+'S&amp;D'!G22</f>
        <v>13.8</v>
      </c>
      <c r="E16" s="61">
        <v>1.2</v>
      </c>
      <c r="F16" s="65">
        <f t="shared" ref="F16:F18" si="0">+E16/D16</f>
        <v>8.6956521739130432E-2</v>
      </c>
      <c r="G16" s="61">
        <v>1.5</v>
      </c>
      <c r="H16" s="65">
        <f t="shared" ref="H16:H18" si="1">+G16/D16</f>
        <v>0.10869565217391304</v>
      </c>
      <c r="I16" s="61">
        <v>2.25</v>
      </c>
      <c r="J16" s="65">
        <f t="shared" ref="J16:J18" si="2">+I16/D16</f>
        <v>0.16304347826086957</v>
      </c>
      <c r="K16" s="243">
        <f t="shared" ref="K16:K18" si="3">RATE(3,,-G16,I16)</f>
        <v>0.14471424255333196</v>
      </c>
    </row>
    <row r="17" spans="1:11" ht="17.5">
      <c r="A17" s="43" t="str">
        <f>+'S&amp;D'!A23</f>
        <v>Enterprise Products Partnership LP</v>
      </c>
      <c r="B17" s="34" t="str">
        <f>+'S&amp;D'!B23</f>
        <v>EPD</v>
      </c>
      <c r="C17" s="34" t="str">
        <f>+'S&amp;D'!C23</f>
        <v>Pipeline MLPs</v>
      </c>
      <c r="D17" s="59">
        <f>+'S&amp;D'!G23</f>
        <v>26.35</v>
      </c>
      <c r="E17" s="61">
        <v>2.7</v>
      </c>
      <c r="F17" s="65">
        <f t="shared" si="0"/>
        <v>0.10246679316888045</v>
      </c>
      <c r="G17" s="61">
        <v>2.8</v>
      </c>
      <c r="H17" s="65">
        <f t="shared" si="1"/>
        <v>0.10626185958254268</v>
      </c>
      <c r="I17" s="61">
        <v>3.35</v>
      </c>
      <c r="J17" s="65">
        <f t="shared" si="2"/>
        <v>0.12713472485768501</v>
      </c>
      <c r="K17" s="243">
        <f t="shared" si="3"/>
        <v>6.1603296823896252E-2</v>
      </c>
    </row>
    <row r="18" spans="1:11" ht="17.5">
      <c r="A18" s="43" t="str">
        <f>+'S&amp;D'!A24</f>
        <v>Hess Midstream LP</v>
      </c>
      <c r="B18" s="34" t="str">
        <f>+'S&amp;D'!B24</f>
        <v>HESM</v>
      </c>
      <c r="C18" s="34" t="str">
        <f>+'S&amp;D'!C24</f>
        <v>Pipeline MLPs</v>
      </c>
      <c r="D18" s="59">
        <f>+'S&amp;D'!G24</f>
        <v>31.63</v>
      </c>
      <c r="E18" s="61">
        <v>2.7</v>
      </c>
      <c r="F18" s="65">
        <f t="shared" si="0"/>
        <v>8.5361998103066716E-2</v>
      </c>
      <c r="G18" s="61">
        <v>3.05</v>
      </c>
      <c r="H18" s="65">
        <f t="shared" si="1"/>
        <v>9.642744230161239E-2</v>
      </c>
      <c r="I18" s="61">
        <v>3.6</v>
      </c>
      <c r="J18" s="65">
        <f t="shared" si="2"/>
        <v>0.11381599747075562</v>
      </c>
      <c r="K18" s="243">
        <f t="shared" si="3"/>
        <v>5.6819667993607152E-2</v>
      </c>
    </row>
    <row r="19" spans="1:11" ht="17.5">
      <c r="A19" s="43" t="str">
        <f>+'S&amp;D'!A25</f>
        <v>MPLX, LP</v>
      </c>
      <c r="B19" s="34" t="str">
        <f>+'S&amp;D'!B25</f>
        <v>MPLX</v>
      </c>
      <c r="C19" s="34" t="str">
        <f>+'S&amp;D'!C25</f>
        <v>Pipeline MLPs</v>
      </c>
      <c r="D19" s="59">
        <f>+'S&amp;D'!G25</f>
        <v>36.72</v>
      </c>
      <c r="E19" s="61">
        <v>4.3</v>
      </c>
      <c r="F19" s="65">
        <f t="shared" ref="F19:F22" si="4">+E19/D19</f>
        <v>0.11710239651416122</v>
      </c>
      <c r="G19" s="61">
        <v>4.7</v>
      </c>
      <c r="H19" s="65">
        <f>+G19/D19</f>
        <v>0.12799564270152505</v>
      </c>
      <c r="I19" s="61">
        <v>5.0999999999999996</v>
      </c>
      <c r="J19" s="65">
        <f t="shared" ref="J19:J22" si="5">+I19/D19</f>
        <v>0.1388888888888889</v>
      </c>
      <c r="K19" s="243">
        <f t="shared" ref="K19:K22" si="6">RATE(3,,-G19,I19)</f>
        <v>2.760002474923063E-2</v>
      </c>
    </row>
    <row r="20" spans="1:11" ht="17.5">
      <c r="A20" s="43" t="str">
        <f>+'S&amp;D'!A26</f>
        <v>NuStar Energy LP</v>
      </c>
      <c r="B20" s="34" t="str">
        <f>+'S&amp;D'!B26</f>
        <v>NS</v>
      </c>
      <c r="C20" s="34" t="str">
        <f>+'S&amp;D'!C26</f>
        <v>Pipeline MLPs</v>
      </c>
      <c r="D20" s="59">
        <f>+'S&amp;D'!G26</f>
        <v>18.68</v>
      </c>
      <c r="E20" s="61">
        <v>1.1000000000000001</v>
      </c>
      <c r="F20" s="65">
        <f t="shared" si="4"/>
        <v>5.8886509635974311E-2</v>
      </c>
      <c r="G20" s="61">
        <v>1.3</v>
      </c>
      <c r="H20" s="65">
        <f t="shared" ref="H20:H22" si="7">+G20/D20</f>
        <v>6.9593147751605994E-2</v>
      </c>
      <c r="I20" s="61">
        <v>2.4</v>
      </c>
      <c r="J20" s="65">
        <f t="shared" si="5"/>
        <v>0.1284796573875803</v>
      </c>
      <c r="K20" s="243">
        <f t="shared" si="6"/>
        <v>0.22674970759254706</v>
      </c>
    </row>
    <row r="21" spans="1:11" ht="17.5">
      <c r="A21" s="43" t="str">
        <f>+'S&amp;D'!A27</f>
        <v>Plains All American Pipeline LP</v>
      </c>
      <c r="B21" s="34" t="str">
        <f>+'S&amp;D'!B27</f>
        <v>PAA</v>
      </c>
      <c r="C21" s="34" t="str">
        <f>+'S&amp;D'!C27</f>
        <v>Pipeline MLPs</v>
      </c>
      <c r="D21" s="59">
        <f>+'S&amp;D'!G27</f>
        <v>15.15</v>
      </c>
      <c r="E21" s="61">
        <v>1.45</v>
      </c>
      <c r="F21" s="65">
        <f t="shared" si="4"/>
        <v>9.5709570957095702E-2</v>
      </c>
      <c r="G21" s="61">
        <v>1.55</v>
      </c>
      <c r="H21" s="65">
        <f t="shared" si="7"/>
        <v>0.10231023102310231</v>
      </c>
      <c r="I21" s="61">
        <v>2.5499999999999998</v>
      </c>
      <c r="J21" s="65">
        <f t="shared" si="5"/>
        <v>0.1683168316831683</v>
      </c>
      <c r="K21" s="243">
        <f t="shared" si="6"/>
        <v>0.18050952101049014</v>
      </c>
    </row>
    <row r="22" spans="1:11" ht="17.5">
      <c r="A22" s="43" t="str">
        <f>+'S&amp;D'!A28</f>
        <v>Western Midstream Partners LP</v>
      </c>
      <c r="B22" s="34" t="str">
        <f>+'S&amp;D'!B28</f>
        <v>WES</v>
      </c>
      <c r="C22" s="34" t="str">
        <f>+'S&amp;D'!C28</f>
        <v>Pipeline MLPs</v>
      </c>
      <c r="D22" s="59">
        <f>+'S&amp;D'!G28</f>
        <v>29.26</v>
      </c>
      <c r="E22" s="61">
        <v>2.85</v>
      </c>
      <c r="F22" s="65">
        <f t="shared" si="4"/>
        <v>9.7402597402597407E-2</v>
      </c>
      <c r="G22" s="61">
        <v>3</v>
      </c>
      <c r="H22" s="65">
        <f t="shared" si="7"/>
        <v>0.10252904989747094</v>
      </c>
      <c r="I22" s="61">
        <v>3.3</v>
      </c>
      <c r="J22" s="65">
        <f t="shared" si="5"/>
        <v>0.11278195488721804</v>
      </c>
      <c r="K22" s="243">
        <f t="shared" si="6"/>
        <v>3.22801154563674E-2</v>
      </c>
    </row>
    <row r="23" spans="1:11" ht="17.5" thickBot="1">
      <c r="A23" s="12"/>
      <c r="B23" s="12"/>
      <c r="C23" s="43"/>
      <c r="D23" s="46"/>
      <c r="E23" s="46"/>
      <c r="F23" s="46"/>
      <c r="G23" s="46"/>
      <c r="H23" s="46"/>
      <c r="I23" s="46"/>
      <c r="J23" s="46"/>
      <c r="K23" s="46"/>
    </row>
    <row r="24" spans="1:11" ht="17.5" thickTop="1">
      <c r="A24" s="12"/>
      <c r="B24" s="12"/>
      <c r="C24" s="14" t="s">
        <v>45</v>
      </c>
      <c r="D24" s="16">
        <f>MAX(D16:D22)</f>
        <v>36.72</v>
      </c>
      <c r="E24" s="16">
        <f t="shared" ref="E24:K24" si="8">MAX(E16:E22)</f>
        <v>4.3</v>
      </c>
      <c r="F24" s="339">
        <f t="shared" si="8"/>
        <v>0.11710239651416122</v>
      </c>
      <c r="G24" s="16">
        <f t="shared" si="8"/>
        <v>4.7</v>
      </c>
      <c r="H24" s="339">
        <f t="shared" si="8"/>
        <v>0.12799564270152505</v>
      </c>
      <c r="I24" s="16">
        <f t="shared" si="8"/>
        <v>5.0999999999999996</v>
      </c>
      <c r="J24" s="339">
        <f t="shared" si="8"/>
        <v>0.1683168316831683</v>
      </c>
      <c r="K24" s="339">
        <f t="shared" si="8"/>
        <v>0.22674970759254706</v>
      </c>
    </row>
    <row r="25" spans="1:11" ht="17">
      <c r="A25" s="12"/>
      <c r="B25" s="12"/>
      <c r="C25" s="373" t="s">
        <v>46</v>
      </c>
      <c r="D25" s="369">
        <f>MIN(D16:D22)</f>
        <v>13.8</v>
      </c>
      <c r="E25" s="369">
        <f t="shared" ref="E25:K25" si="9">MIN(E16:E22)</f>
        <v>1.1000000000000001</v>
      </c>
      <c r="F25" s="370">
        <f t="shared" si="9"/>
        <v>5.8886509635974311E-2</v>
      </c>
      <c r="G25" s="369">
        <f t="shared" si="9"/>
        <v>1.3</v>
      </c>
      <c r="H25" s="370">
        <f t="shared" si="9"/>
        <v>6.9593147751605994E-2</v>
      </c>
      <c r="I25" s="369">
        <f t="shared" si="9"/>
        <v>2.25</v>
      </c>
      <c r="J25" s="370">
        <f t="shared" si="9"/>
        <v>0.11278195488721804</v>
      </c>
      <c r="K25" s="370">
        <f t="shared" si="9"/>
        <v>2.760002474923063E-2</v>
      </c>
    </row>
    <row r="26" spans="1:11" ht="17">
      <c r="A26" s="12"/>
      <c r="B26" s="12"/>
      <c r="C26" s="14" t="s">
        <v>18</v>
      </c>
      <c r="D26" s="17">
        <f t="shared" ref="D26:K26" si="10">MEDIAN(D16:D22)</f>
        <v>26.35</v>
      </c>
      <c r="E26" s="17">
        <f t="shared" si="10"/>
        <v>2.7</v>
      </c>
      <c r="F26" s="54">
        <f t="shared" si="10"/>
        <v>9.5709570957095702E-2</v>
      </c>
      <c r="G26" s="17">
        <f t="shared" si="10"/>
        <v>2.8</v>
      </c>
      <c r="H26" s="54">
        <f t="shared" si="10"/>
        <v>0.10252904989747094</v>
      </c>
      <c r="I26" s="17">
        <f t="shared" si="10"/>
        <v>3.3</v>
      </c>
      <c r="J26" s="54">
        <f t="shared" si="10"/>
        <v>0.1284796573875803</v>
      </c>
      <c r="K26" s="54">
        <f t="shared" si="10"/>
        <v>6.1603296823896252E-2</v>
      </c>
    </row>
    <row r="27" spans="1:11" ht="17">
      <c r="A27" s="12"/>
      <c r="B27" s="12"/>
      <c r="C27" s="14" t="s">
        <v>440</v>
      </c>
      <c r="D27" s="21">
        <f t="shared" ref="D27:K27" si="11">AVERAGE(D16:D22)</f>
        <v>24.512857142857143</v>
      </c>
      <c r="E27" s="21">
        <f t="shared" si="11"/>
        <v>2.3285714285714287</v>
      </c>
      <c r="F27" s="56">
        <f t="shared" si="11"/>
        <v>9.1983769645843746E-2</v>
      </c>
      <c r="G27" s="21">
        <f t="shared" si="11"/>
        <v>2.5571428571428574</v>
      </c>
      <c r="H27" s="56">
        <f t="shared" si="11"/>
        <v>0.10197328934739605</v>
      </c>
      <c r="I27" s="21">
        <f t="shared" si="11"/>
        <v>3.2214285714285715</v>
      </c>
      <c r="J27" s="56">
        <f t="shared" si="11"/>
        <v>0.13606593334802367</v>
      </c>
      <c r="K27" s="56">
        <f t="shared" si="11"/>
        <v>0.10432522516849581</v>
      </c>
    </row>
    <row r="28" spans="1:11" ht="17">
      <c r="A28" s="12"/>
      <c r="B28" s="12"/>
      <c r="C28" s="12"/>
      <c r="D28" s="12"/>
      <c r="E28" s="12"/>
      <c r="F28" s="12"/>
      <c r="G28" s="12"/>
      <c r="H28" s="12"/>
      <c r="I28" s="12"/>
      <c r="J28" s="12"/>
      <c r="K28" s="12"/>
    </row>
    <row r="29" spans="1:11" ht="25.5">
      <c r="A29" s="12"/>
      <c r="B29" s="12"/>
      <c r="C29" s="12"/>
      <c r="D29" s="12"/>
      <c r="E29" s="12"/>
      <c r="F29" s="49" t="s">
        <v>0</v>
      </c>
      <c r="G29" s="63" t="s">
        <v>0</v>
      </c>
      <c r="H29" s="12"/>
      <c r="I29" s="12"/>
      <c r="J29" s="12"/>
      <c r="K29" s="12"/>
    </row>
    <row r="30" spans="1:11" ht="18.5">
      <c r="A30" s="245" t="s">
        <v>281</v>
      </c>
    </row>
  </sheetData>
  <pageMargins left="0.25" right="0.25"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FB36B36E7EE46B860E7832FBC9DDB" ma:contentTypeVersion="1" ma:contentTypeDescription="Create a new document." ma:contentTypeScope="" ma:versionID="bff476506a81a32367fb2f95cb3debc2">
  <xsd:schema xmlns:xsd="http://www.w3.org/2001/XMLSchema" xmlns:xs="http://www.w3.org/2001/XMLSchema" xmlns:p="http://schemas.microsoft.com/office/2006/metadata/properties" xmlns:ns2="f94b9277-b0a3-4d91-bade-04ea91219630" targetNamespace="http://schemas.microsoft.com/office/2006/metadata/properties" ma:root="true" ma:fieldsID="93ea9a64a9ab47897a537ad3dd05bc89" ns2:_="">
    <xsd:import namespace="f94b9277-b0a3-4d91-bade-04ea912196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6166CC-92CD-4E14-B90B-6F248A19BF36}"/>
</file>

<file path=customXml/itemProps2.xml><?xml version="1.0" encoding="utf-8"?>
<ds:datastoreItem xmlns:ds="http://schemas.openxmlformats.org/officeDocument/2006/customXml" ds:itemID="{14BF9BB6-D5AC-45F7-A98E-D451C8709C71}"/>
</file>

<file path=customXml/itemProps3.xml><?xml version="1.0" encoding="utf-8"?>
<ds:datastoreItem xmlns:ds="http://schemas.openxmlformats.org/officeDocument/2006/customXml" ds:itemID="{E94B3660-9DC6-48D6-99CF-8F1AA26576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Liquid MLP Pipelines</dc:title>
  <dc:creator>%USERNAME%</dc:creator>
  <cp:lastModifiedBy>Baker, Mike A (DOR)</cp:lastModifiedBy>
  <cp:lastPrinted>2023-05-30T15:41:49Z</cp:lastPrinted>
  <dcterms:created xsi:type="dcterms:W3CDTF">2016-02-12T19:29:24Z</dcterms:created>
  <dcterms:modified xsi:type="dcterms:W3CDTF">2024-07-24T22:28:39Z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0x01010019CFB36B36E7EE46B860E7832FBC9DDB</vt:lpwstr>
  </property>
</Properties>
</file>